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40" activeTab="0"/>
  </bookViews>
  <sheets>
    <sheet name="Plan1" sheetId="1" r:id="rId1"/>
  </sheets>
  <externalReferences>
    <externalReference r:id="rId4"/>
    <externalReference r:id="rId5"/>
  </externalReferences>
  <definedNames>
    <definedName name="_xlnm.Print_Area" localSheetId="0">'Plan1'!$B$2:$I$82</definedName>
  </definedNames>
  <calcPr fullCalcOnLoad="1"/>
</workbook>
</file>

<file path=xl/comments1.xml><?xml version="1.0" encoding="utf-8"?>
<comments xmlns="http://schemas.openxmlformats.org/spreadsheetml/2006/main">
  <authors>
    <author>Ricardo</author>
    <author>A2Office</author>
  </authors>
  <commentList>
    <comment ref="B69" authorId="0">
      <text>
        <r>
          <rPr>
            <b/>
            <sz val="8"/>
            <rFont val="Tahoma"/>
            <family val="0"/>
          </rPr>
          <t>Independentemente de haver atividade operacional é devido a Taxa de Licença da Prefeitura. Este parâmetro tem como base a Cidade de São Paulo</t>
        </r>
      </text>
    </comment>
    <comment ref="B70" authorId="0">
      <text>
        <r>
          <rPr>
            <b/>
            <sz val="8"/>
            <rFont val="Tahoma"/>
            <family val="0"/>
          </rPr>
          <t xml:space="preserve">A contribuição sindical patronal é obrigatória por lei
</t>
        </r>
      </text>
    </comment>
    <comment ref="B72" authorId="0">
      <text>
        <r>
          <rPr>
            <b/>
            <sz val="8"/>
            <rFont val="Tahoma"/>
            <family val="0"/>
          </rPr>
          <t>Valor cobrado pelo escritório de contabilidade para a apuração do balanço e a confecção e entrega da Declaração de Imposto de Renda das Pessoas Jurídicas.</t>
        </r>
      </text>
    </comment>
    <comment ref="B73" authorId="0">
      <text>
        <r>
          <rPr>
            <b/>
            <sz val="8"/>
            <rFont val="Tahoma"/>
            <family val="0"/>
          </rPr>
          <t>RAIS: Obrigação Federal que listará os salários pagos aos empregados no ano anterior ou descreverá a ausência de vínculos empregatícios.</t>
        </r>
      </text>
    </comment>
    <comment ref="B74" authorId="0">
      <text>
        <r>
          <rPr>
            <b/>
            <sz val="8"/>
            <rFont val="Tahoma"/>
            <family val="0"/>
          </rPr>
          <t>A DIRF é um documento federal que é elaborado e transmitido para a Secretaria da Receita Federal, discriminando todos os valores pagos às pessoas físicas, bem como as retenções de impostos realizadas das pessaos jurídicas que prestaram servicos ao longo do ano.</t>
        </r>
      </text>
    </comment>
    <comment ref="B75" authorId="0">
      <text>
        <r>
          <rPr>
            <b/>
            <sz val="8"/>
            <rFont val="Tahoma"/>
            <family val="0"/>
          </rPr>
          <t>A DCTF é um documento exigido pela Secretaria da Receita Federal, onde constarão todos os impostos pagos ou sua ausência. A não entrega implicará em multa de R$ 500,00 por declaração</t>
        </r>
      </text>
    </comment>
    <comment ref="B76" authorId="0">
      <text>
        <r>
          <rPr>
            <b/>
            <sz val="8"/>
            <rFont val="Tahoma"/>
            <family val="0"/>
          </rPr>
          <t>A DACON  é um documento exigido pela Secretaria da Receita Federal, onde serão relacionados todos os eventos que suscitarão o recolhimento de PIS ou COFINS. A não entrega implicará em multa de R$ 500,00 por declaração</t>
        </r>
      </text>
    </comment>
    <comment ref="G47" authorId="1">
      <text>
        <r>
          <rPr>
            <b/>
            <sz val="8"/>
            <color indexed="10"/>
            <rFont val="Tahoma"/>
            <family val="2"/>
          </rPr>
          <t>REGIME DO SIMPLES</t>
        </r>
        <r>
          <rPr>
            <b/>
            <sz val="8"/>
            <rFont val="Tahoma"/>
            <family val="0"/>
          </rPr>
          <t xml:space="preserve">
A planilha está considerando que durante os próximos 12 meses haverá o mesmo valor de faturamento. Como este imposto é calculado por média, poderá haver distorção quando a empresa tiver outros faturamentos durante o ano.
Esta planilha serve como orientação quando o faturamento ou a expectativa for igual para todos os meses.</t>
        </r>
      </text>
    </comment>
    <comment ref="D47" authorId="1">
      <text>
        <r>
          <rPr>
            <b/>
            <sz val="8"/>
            <rFont val="Tahoma"/>
            <family val="0"/>
          </rPr>
          <t>OSCIP 
A OSCIP é tributada pelo ISS de cada cidade e no caso do COFINS (Federal) é necessário considerar que ela tem o direito de deduzir as notas fiscais dos serviços tomados no desenvolvimento do projeto.</t>
        </r>
      </text>
    </comment>
    <comment ref="C51" authorId="1">
      <text>
        <r>
          <rPr>
            <b/>
            <sz val="8"/>
            <rFont val="Tahoma"/>
            <family val="0"/>
          </rPr>
          <t>coloque aqui a alíquota que a sua cidade cobra para desenvolvimento do serviço que vocë está praticando.
A alíquota variará entre 2% a 5%</t>
        </r>
      </text>
    </comment>
  </commentList>
</comments>
</file>

<file path=xl/sharedStrings.xml><?xml version="1.0" encoding="utf-8"?>
<sst xmlns="http://schemas.openxmlformats.org/spreadsheetml/2006/main" count="96" uniqueCount="68">
  <si>
    <t>IMPOSTOS MUNICIPAIS</t>
  </si>
  <si>
    <t>IMPOSTOS FEDERAIS</t>
  </si>
  <si>
    <t>IMPOSTO DE RENDA</t>
  </si>
  <si>
    <t>CONTRIBUIÇÃO SOCIAL</t>
  </si>
  <si>
    <t>PIS S/FATURAMENTO</t>
  </si>
  <si>
    <t>COFINS</t>
  </si>
  <si>
    <t>QUADRO TRIBUTÁRIO</t>
  </si>
  <si>
    <t>FATURAMENTO</t>
  </si>
  <si>
    <t>IMPOSTOS ESTADUAIS</t>
  </si>
  <si>
    <t>ICMS</t>
  </si>
  <si>
    <t>FATURAMENTO MENSAL</t>
  </si>
  <si>
    <t>COMPRAS MENSAL</t>
  </si>
  <si>
    <t>IMPOSTO A PAGAR AO MÊS</t>
  </si>
  <si>
    <t>GASTO GERAL COM IMPOSTOS</t>
  </si>
  <si>
    <t>EMPRESA COMERCIAL</t>
  </si>
  <si>
    <t>EMPRESA PRESTADORA DE SERVIÇOS</t>
  </si>
  <si>
    <t>PREST SERV MANUTENÇÃO</t>
  </si>
  <si>
    <t>PREST SERV PROGRAMAÇÃO</t>
  </si>
  <si>
    <t>ISS - MANUTENÇÃO</t>
  </si>
  <si>
    <t>ISS - PROGRAMAÇÃO</t>
  </si>
  <si>
    <t>ISS</t>
  </si>
  <si>
    <t>IMPOSTO DE RENDA - ADIC*</t>
  </si>
  <si>
    <t>(*) Imposto de renda adicional surge quando a empresa tem lucro acima de R$ 20 mil mensal. A alíquota é 10%</t>
  </si>
  <si>
    <t>SIMPLES</t>
  </si>
  <si>
    <t>SUA ALÍQUOTA</t>
  </si>
  <si>
    <t>REGIME SIMPLIFICADO</t>
  </si>
  <si>
    <t>ACUMULADO NO ANO</t>
  </si>
  <si>
    <t>QUADRO COMPARATIVO</t>
  </si>
  <si>
    <t>MENSAL</t>
  </si>
  <si>
    <t>ANUAL</t>
  </si>
  <si>
    <t>SIMPLES (2)</t>
  </si>
  <si>
    <t>PROGRAMAÇÃO NÃO PODE</t>
  </si>
  <si>
    <t xml:space="preserve">(2) A alíquota colocada é a alíquota média. </t>
  </si>
  <si>
    <t xml:space="preserve">ISS </t>
  </si>
  <si>
    <t>GASTO GERAL COM IMPOSTOS DIRETOS</t>
  </si>
  <si>
    <t>GASTOS DIRETOS E OBRIGAÇÕES ACESSÓRIAS</t>
  </si>
  <si>
    <t xml:space="preserve">OBRIGAÇÕES </t>
  </si>
  <si>
    <t>Taxa de licença da Prefeitura</t>
  </si>
  <si>
    <t>Contribuição Sindical Patronal</t>
  </si>
  <si>
    <t>Taxa de balanço e declaração de Imposto de Renda Jurídica</t>
  </si>
  <si>
    <r>
      <t>Confecção e entrega da RAIS</t>
    </r>
    <r>
      <rPr>
        <b/>
        <vertAlign val="superscript"/>
        <sz val="10"/>
        <color indexed="12"/>
        <rFont val="Arial"/>
        <family val="2"/>
      </rPr>
      <t xml:space="preserve"> (1) </t>
    </r>
  </si>
  <si>
    <r>
      <t xml:space="preserve">Confecção e entrega da DIRF  </t>
    </r>
    <r>
      <rPr>
        <b/>
        <vertAlign val="superscript"/>
        <sz val="10"/>
        <color indexed="12"/>
        <rFont val="Arial"/>
        <family val="2"/>
      </rPr>
      <t xml:space="preserve">(1) </t>
    </r>
  </si>
  <si>
    <r>
      <t xml:space="preserve">Confecção e entrega da DCTF  </t>
    </r>
    <r>
      <rPr>
        <b/>
        <vertAlign val="superscript"/>
        <sz val="10"/>
        <color indexed="12"/>
        <rFont val="Arial"/>
        <family val="2"/>
      </rPr>
      <t xml:space="preserve">(1) </t>
    </r>
  </si>
  <si>
    <r>
      <t xml:space="preserve">Confecção e entrega da DACON  </t>
    </r>
    <r>
      <rPr>
        <b/>
        <vertAlign val="superscript"/>
        <sz val="10"/>
        <color indexed="12"/>
        <rFont val="Arial"/>
        <family val="2"/>
      </rPr>
      <t xml:space="preserve">(1) </t>
    </r>
  </si>
  <si>
    <t>TOTAL ANO</t>
  </si>
  <si>
    <t>VALORES APROXIMADOS -&gt;&gt;</t>
  </si>
  <si>
    <t>INSS (considerando a contribuição de apenas 01 sócio e sobre apenas 01 salário minimo</t>
  </si>
  <si>
    <t>TOTAL COM GASTOS COM OBRIGAÇÕES ACESSÓRIAS E TAXAS</t>
  </si>
  <si>
    <t>Contador em mensalidades</t>
  </si>
  <si>
    <t>PRESTAÇÃO DE SERVIÇOS</t>
  </si>
  <si>
    <t>Lucro Presumido</t>
  </si>
  <si>
    <t>OSCIP</t>
  </si>
  <si>
    <t>Empresa Tributada Lucro Presumido</t>
  </si>
  <si>
    <t>Empresa Tributada no Simples</t>
  </si>
  <si>
    <t>IMPOSTO DE RENDA RETIDO NA FONTE</t>
  </si>
  <si>
    <t>IMPOSTO DE RENDA - COMPLEMENTO</t>
  </si>
  <si>
    <t>CONTRIBUIÇÃO SOCIAL - RETIDO NA FONTE</t>
  </si>
  <si>
    <t>CONTRIBUIÇÃO SOCIAL - COMPLEMENTO</t>
  </si>
  <si>
    <t xml:space="preserve">COFINS </t>
  </si>
  <si>
    <t>COFINS NÃO CUMULATIVO</t>
  </si>
  <si>
    <t>INTERVALO</t>
  </si>
  <si>
    <t>TABELA I</t>
  </si>
  <si>
    <t>TABELA II</t>
  </si>
  <si>
    <t>TABELA III</t>
  </si>
  <si>
    <t>TABELA V</t>
  </si>
  <si>
    <t>TABELA IV</t>
  </si>
  <si>
    <t>DE</t>
  </si>
  <si>
    <t>A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</si>
</sst>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000"/>
    <numFmt numFmtId="175" formatCode="mmmm\ &quot;de&quot;\ yyyy"/>
    <numFmt numFmtId="176" formatCode="mmmm\-yy"/>
    <numFmt numFmtId="177" formatCode="mmm\ yy"/>
    <numFmt numFmtId="178" formatCode="0.00000%"/>
    <numFmt numFmtId="179" formatCode="_(* #,##0.00000_);_(* \(#,##0.00000\);_(* &quot;-&quot;?????_);_(@_)"/>
  </numFmts>
  <fonts count="32">
    <font>
      <sz val="12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sz val="16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6"/>
      <name val="Arial"/>
      <family val="2"/>
    </font>
    <font>
      <b/>
      <sz val="12"/>
      <color indexed="9"/>
      <name val="Arial"/>
      <family val="2"/>
    </font>
    <font>
      <b/>
      <sz val="12"/>
      <name val="Verdana"/>
      <family val="2"/>
    </font>
    <font>
      <b/>
      <sz val="12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14"/>
      <color indexed="4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Tahoma"/>
      <family val="2"/>
    </font>
    <font>
      <b/>
      <sz val="8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20" applyFon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43" fontId="10" fillId="0" borderId="1" xfId="20" applyFont="1" applyFill="1" applyBorder="1" applyAlignment="1">
      <alignment/>
    </xf>
    <xf numFmtId="43" fontId="10" fillId="0" borderId="2" xfId="20" applyFont="1" applyFill="1" applyBorder="1" applyAlignment="1">
      <alignment/>
    </xf>
    <xf numFmtId="43" fontId="6" fillId="0" borderId="3" xfId="20" applyFont="1" applyBorder="1" applyAlignment="1">
      <alignment horizontal="right"/>
    </xf>
    <xf numFmtId="43" fontId="9" fillId="0" borderId="1" xfId="20" applyFont="1" applyFill="1" applyBorder="1" applyAlignment="1">
      <alignment/>
    </xf>
    <xf numFmtId="43" fontId="9" fillId="0" borderId="2" xfId="20" applyFont="1" applyFill="1" applyBorder="1" applyAlignment="1">
      <alignment/>
    </xf>
    <xf numFmtId="43" fontId="3" fillId="2" borderId="4" xfId="20" applyFont="1" applyFill="1" applyBorder="1" applyAlignment="1">
      <alignment/>
    </xf>
    <xf numFmtId="43" fontId="3" fillId="2" borderId="0" xfId="20" applyFont="1" applyFill="1" applyBorder="1" applyAlignment="1">
      <alignment/>
    </xf>
    <xf numFmtId="43" fontId="15" fillId="3" borderId="3" xfId="20" applyFont="1" applyFill="1" applyBorder="1" applyAlignment="1">
      <alignment/>
    </xf>
    <xf numFmtId="43" fontId="1" fillId="2" borderId="0" xfId="20" applyFont="1" applyFill="1" applyBorder="1" applyAlignment="1">
      <alignment/>
    </xf>
    <xf numFmtId="43" fontId="5" fillId="0" borderId="2" xfId="20" applyFont="1" applyFill="1" applyBorder="1" applyAlignment="1">
      <alignment/>
    </xf>
    <xf numFmtId="43" fontId="5" fillId="0" borderId="5" xfId="20" applyFont="1" applyFill="1" applyBorder="1" applyAlignment="1">
      <alignment/>
    </xf>
    <xf numFmtId="43" fontId="1" fillId="0" borderId="3" xfId="20" applyFont="1" applyBorder="1" applyAlignment="1">
      <alignment/>
    </xf>
    <xf numFmtId="43" fontId="1" fillId="0" borderId="6" xfId="20" applyFont="1" applyBorder="1" applyAlignment="1">
      <alignment/>
    </xf>
    <xf numFmtId="43" fontId="1" fillId="0" borderId="7" xfId="20" applyFont="1" applyBorder="1" applyAlignment="1">
      <alignment/>
    </xf>
    <xf numFmtId="43" fontId="4" fillId="0" borderId="2" xfId="20" applyFont="1" applyFill="1" applyBorder="1" applyAlignment="1">
      <alignment/>
    </xf>
    <xf numFmtId="43" fontId="4" fillId="0" borderId="5" xfId="20" applyFont="1" applyFill="1" applyBorder="1" applyAlignment="1">
      <alignment/>
    </xf>
    <xf numFmtId="43" fontId="1" fillId="0" borderId="5" xfId="20" applyFont="1" applyBorder="1" applyAlignment="1">
      <alignment/>
    </xf>
    <xf numFmtId="9" fontId="6" fillId="0" borderId="3" xfId="19" applyFont="1" applyBorder="1" applyAlignment="1">
      <alignment horizontal="right"/>
    </xf>
    <xf numFmtId="0" fontId="16" fillId="0" borderId="3" xfId="0" applyFont="1" applyBorder="1" applyAlignment="1">
      <alignment horizontal="center" wrapText="1"/>
    </xf>
    <xf numFmtId="43" fontId="5" fillId="0" borderId="3" xfId="20" applyFont="1" applyFill="1" applyBorder="1" applyAlignment="1">
      <alignment/>
    </xf>
    <xf numFmtId="10" fontId="6" fillId="0" borderId="3" xfId="19" applyNumberFormat="1" applyFont="1" applyBorder="1" applyAlignment="1">
      <alignment horizontal="right"/>
    </xf>
    <xf numFmtId="43" fontId="17" fillId="0" borderId="3" xfId="0" applyNumberFormat="1" applyFont="1" applyBorder="1" applyAlignment="1">
      <alignment/>
    </xf>
    <xf numFmtId="10" fontId="17" fillId="0" borderId="3" xfId="19" applyNumberFormat="1" applyFont="1" applyBorder="1" applyAlignment="1">
      <alignment/>
    </xf>
    <xf numFmtId="43" fontId="15" fillId="3" borderId="0" xfId="20" applyFont="1" applyFill="1" applyBorder="1" applyAlignment="1">
      <alignment/>
    </xf>
    <xf numFmtId="43" fontId="15" fillId="3" borderId="1" xfId="20" applyFont="1" applyFill="1" applyBorder="1" applyAlignment="1">
      <alignment/>
    </xf>
    <xf numFmtId="43" fontId="8" fillId="0" borderId="3" xfId="20" applyFont="1" applyBorder="1" applyAlignment="1">
      <alignment horizontal="right"/>
    </xf>
    <xf numFmtId="10" fontId="8" fillId="0" borderId="3" xfId="19" applyNumberFormat="1" applyFont="1" applyBorder="1" applyAlignment="1">
      <alignment horizontal="right"/>
    </xf>
    <xf numFmtId="10" fontId="20" fillId="0" borderId="8" xfId="19" applyNumberFormat="1" applyFont="1" applyBorder="1" applyAlignment="1">
      <alignment horizontal="center" vertical="center" wrapText="1"/>
    </xf>
    <xf numFmtId="177" fontId="8" fillId="0" borderId="8" xfId="19" applyNumberFormat="1" applyFont="1" applyBorder="1" applyAlignment="1">
      <alignment horizontal="center" vertical="center" wrapText="1"/>
    </xf>
    <xf numFmtId="170" fontId="20" fillId="0" borderId="8" xfId="20" applyNumberFormat="1" applyFont="1" applyBorder="1" applyAlignment="1">
      <alignment horizontal="center" vertical="center" wrapText="1"/>
    </xf>
    <xf numFmtId="43" fontId="3" fillId="0" borderId="8" xfId="20" applyFont="1" applyBorder="1" applyAlignment="1">
      <alignment horizontal="center" vertical="center" wrapText="1"/>
    </xf>
    <xf numFmtId="10" fontId="2" fillId="4" borderId="8" xfId="19" applyNumberFormat="1" applyFont="1" applyFill="1" applyBorder="1" applyAlignment="1">
      <alignment/>
    </xf>
    <xf numFmtId="10" fontId="3" fillId="5" borderId="8" xfId="19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43" fontId="15" fillId="6" borderId="3" xfId="20" applyFont="1" applyFill="1" applyBorder="1" applyAlignment="1">
      <alignment/>
    </xf>
    <xf numFmtId="43" fontId="17" fillId="0" borderId="3" xfId="20" applyFont="1" applyFill="1" applyBorder="1" applyAlignment="1">
      <alignment/>
    </xf>
    <xf numFmtId="43" fontId="15" fillId="0" borderId="3" xfId="20" applyFont="1" applyFill="1" applyBorder="1" applyAlignment="1">
      <alignment/>
    </xf>
    <xf numFmtId="43" fontId="22" fillId="7" borderId="3" xfId="20" applyFont="1" applyFill="1" applyBorder="1" applyAlignment="1">
      <alignment/>
    </xf>
    <xf numFmtId="43" fontId="6" fillId="0" borderId="0" xfId="20" applyFont="1" applyBorder="1" applyAlignment="1">
      <alignment horizontal="right"/>
    </xf>
    <xf numFmtId="10" fontId="17" fillId="0" borderId="0" xfId="19" applyNumberFormat="1" applyFont="1" applyBorder="1" applyAlignment="1">
      <alignment/>
    </xf>
    <xf numFmtId="43" fontId="17" fillId="0" borderId="0" xfId="0" applyNumberFormat="1" applyFont="1" applyBorder="1" applyAlignment="1">
      <alignment/>
    </xf>
    <xf numFmtId="43" fontId="6" fillId="0" borderId="2" xfId="20" applyFont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43" fontId="24" fillId="0" borderId="1" xfId="20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3" fillId="0" borderId="1" xfId="20" applyFont="1" applyFill="1" applyBorder="1" applyAlignment="1">
      <alignment/>
    </xf>
    <xf numFmtId="43" fontId="3" fillId="0" borderId="5" xfId="20" applyFont="1" applyFill="1" applyBorder="1" applyAlignment="1">
      <alignment/>
    </xf>
    <xf numFmtId="9" fontId="3" fillId="0" borderId="5" xfId="20" applyNumberFormat="1" applyFont="1" applyFill="1" applyBorder="1" applyAlignment="1">
      <alignment/>
    </xf>
    <xf numFmtId="43" fontId="2" fillId="0" borderId="3" xfId="20" applyFont="1" applyFill="1" applyBorder="1" applyAlignment="1">
      <alignment/>
    </xf>
    <xf numFmtId="43" fontId="28" fillId="2" borderId="1" xfId="20" applyFont="1" applyFill="1" applyBorder="1" applyAlignment="1">
      <alignment horizontal="center"/>
    </xf>
    <xf numFmtId="43" fontId="28" fillId="2" borderId="2" xfId="20" applyFont="1" applyFill="1" applyBorder="1" applyAlignment="1">
      <alignment horizontal="center"/>
    </xf>
    <xf numFmtId="43" fontId="2" fillId="8" borderId="3" xfId="20" applyFont="1" applyFill="1" applyBorder="1" applyAlignment="1">
      <alignment/>
    </xf>
    <xf numFmtId="43" fontId="2" fillId="7" borderId="3" xfId="20" applyFont="1" applyFill="1" applyBorder="1" applyAlignment="1">
      <alignment/>
    </xf>
    <xf numFmtId="43" fontId="2" fillId="9" borderId="3" xfId="2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69" fontId="15" fillId="10" borderId="3" xfId="17" applyFont="1" applyFill="1" applyBorder="1" applyAlignment="1">
      <alignment vertical="center" shrinkToFit="1"/>
    </xf>
    <xf numFmtId="169" fontId="19" fillId="0" borderId="3" xfId="17" applyFont="1" applyFill="1" applyBorder="1" applyAlignment="1">
      <alignment/>
    </xf>
    <xf numFmtId="169" fontId="29" fillId="0" borderId="3" xfId="17" applyFont="1" applyFill="1" applyBorder="1" applyAlignment="1">
      <alignment/>
    </xf>
    <xf numFmtId="43" fontId="2" fillId="0" borderId="8" xfId="20" applyFont="1" applyFill="1" applyBorder="1" applyAlignment="1">
      <alignment/>
    </xf>
    <xf numFmtId="10" fontId="2" fillId="0" borderId="8" xfId="19" applyNumberFormat="1" applyFont="1" applyFill="1" applyBorder="1" applyAlignment="1">
      <alignment/>
    </xf>
    <xf numFmtId="0" fontId="22" fillId="11" borderId="3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43" fontId="6" fillId="0" borderId="1" xfId="20" applyFont="1" applyBorder="1" applyAlignment="1">
      <alignment horizontal="right"/>
    </xf>
    <xf numFmtId="43" fontId="6" fillId="0" borderId="2" xfId="20" applyFont="1" applyBorder="1" applyAlignment="1">
      <alignment horizontal="right"/>
    </xf>
    <xf numFmtId="0" fontId="2" fillId="0" borderId="0" xfId="0" applyFont="1" applyAlignment="1">
      <alignment/>
    </xf>
    <xf numFmtId="43" fontId="6" fillId="0" borderId="5" xfId="20" applyFont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43" fontId="25" fillId="2" borderId="1" xfId="20" applyFont="1" applyFill="1" applyBorder="1" applyAlignment="1">
      <alignment horizontal="center"/>
    </xf>
    <xf numFmtId="43" fontId="25" fillId="2" borderId="2" xfId="2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43" fontId="3" fillId="0" borderId="1" xfId="20" applyFont="1" applyBorder="1" applyAlignment="1">
      <alignment/>
    </xf>
    <xf numFmtId="43" fontId="3" fillId="0" borderId="5" xfId="20" applyFont="1" applyBorder="1" applyAlignment="1">
      <alignment/>
    </xf>
    <xf numFmtId="43" fontId="15" fillId="14" borderId="9" xfId="20" applyFont="1" applyFill="1" applyBorder="1" applyAlignment="1">
      <alignment/>
    </xf>
    <xf numFmtId="43" fontId="15" fillId="14" borderId="7" xfId="20" applyFont="1" applyFill="1" applyBorder="1" applyAlignment="1">
      <alignment/>
    </xf>
    <xf numFmtId="10" fontId="6" fillId="0" borderId="1" xfId="19" applyNumberFormat="1" applyFont="1" applyBorder="1" applyAlignment="1">
      <alignment horizontal="right"/>
    </xf>
    <xf numFmtId="10" fontId="6" fillId="0" borderId="2" xfId="19" applyNumberFormat="1" applyFont="1" applyBorder="1" applyAlignment="1">
      <alignment horizontal="right"/>
    </xf>
    <xf numFmtId="10" fontId="6" fillId="0" borderId="5" xfId="19" applyNumberFormat="1" applyFont="1" applyBorder="1" applyAlignment="1">
      <alignment horizontal="right"/>
    </xf>
    <xf numFmtId="0" fontId="23" fillId="0" borderId="1" xfId="0" applyFont="1" applyBorder="1" applyAlignment="1">
      <alignment/>
    </xf>
    <xf numFmtId="0" fontId="23" fillId="0" borderId="5" xfId="0" applyFont="1" applyBorder="1" applyAlignment="1">
      <alignment/>
    </xf>
    <xf numFmtId="0" fontId="7" fillId="6" borderId="0" xfId="0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/>
    </xf>
    <xf numFmtId="10" fontId="17" fillId="7" borderId="1" xfId="19" applyNumberFormat="1" applyFont="1" applyFill="1" applyBorder="1" applyAlignment="1">
      <alignment horizontal="center"/>
    </xf>
    <xf numFmtId="10" fontId="17" fillId="7" borderId="5" xfId="19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1" fillId="10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2" fillId="0" borderId="3" xfId="0" applyFont="1" applyBorder="1" applyAlignment="1">
      <alignment/>
    </xf>
    <xf numFmtId="0" fontId="7" fillId="16" borderId="0" xfId="0" applyFont="1" applyFill="1" applyBorder="1" applyAlignment="1">
      <alignment horizontal="center"/>
    </xf>
    <xf numFmtId="43" fontId="24" fillId="0" borderId="5" xfId="20" applyFont="1" applyFill="1" applyBorder="1" applyAlignment="1">
      <alignment horizontal="center"/>
    </xf>
    <xf numFmtId="43" fontId="8" fillId="0" borderId="1" xfId="2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46</xdr:row>
      <xdr:rowOff>409575</xdr:rowOff>
    </xdr:from>
    <xdr:to>
      <xdr:col>9</xdr:col>
      <xdr:colOff>180975</xdr:colOff>
      <xdr:row>49</xdr:row>
      <xdr:rowOff>180975</xdr:rowOff>
    </xdr:to>
    <xdr:sp>
      <xdr:nvSpPr>
        <xdr:cNvPr id="1" name="AutoShape 15"/>
        <xdr:cNvSpPr>
          <a:spLocks/>
        </xdr:cNvSpPr>
      </xdr:nvSpPr>
      <xdr:spPr>
        <a:xfrm>
          <a:off x="6762750" y="1495425"/>
          <a:ext cx="1476375" cy="11430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coloque aqui o valor do faturamento pretendido e veja o quanto incidirá de impostos em cada tipo jurídico</a:t>
          </a:r>
        </a:p>
      </xdr:txBody>
    </xdr:sp>
    <xdr:clientData/>
  </xdr:twoCellAnchor>
  <xdr:twoCellAnchor>
    <xdr:from>
      <xdr:col>9</xdr:col>
      <xdr:colOff>323850</xdr:colOff>
      <xdr:row>47</xdr:row>
      <xdr:rowOff>152400</xdr:rowOff>
    </xdr:from>
    <xdr:to>
      <xdr:col>13</xdr:col>
      <xdr:colOff>533400</xdr:colOff>
      <xdr:row>63</xdr:row>
      <xdr:rowOff>133350</xdr:rowOff>
    </xdr:to>
    <xdr:sp>
      <xdr:nvSpPr>
        <xdr:cNvPr id="2" name="AutoShape 17"/>
        <xdr:cNvSpPr>
          <a:spLocks/>
        </xdr:cNvSpPr>
      </xdr:nvSpPr>
      <xdr:spPr>
        <a:xfrm>
          <a:off x="8382000" y="2038350"/>
          <a:ext cx="895350" cy="2857500"/>
        </a:xfrm>
        <a:prstGeom prst="curvedLeftArrow">
          <a:avLst>
            <a:gd name="adj1" fmla="val 25592"/>
            <a:gd name="adj2" fmla="val 44236"/>
            <a:gd name="adj3" fmla="val 3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%20Faturamento\2010_000%20-%20Simples%20Tabela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%20Faturamento\bas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ASTRO"/>
      <sheetName val="VALORES"/>
      <sheetName val="ICMS - ISS"/>
      <sheetName val="MEDIA"/>
      <sheetName val="PROTOCOLO"/>
    </sheetNames>
    <sheetDataSet>
      <sheetData sheetId="0">
        <row r="12">
          <cell r="AH12" t="str">
            <v>III</v>
          </cell>
        </row>
      </sheetData>
      <sheetData sheetId="3"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CIONAL"/>
      <sheetName val="TABELA"/>
      <sheetName val="VENCIMENTOS"/>
      <sheetName val="ICMS"/>
      <sheetName val="INF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N96"/>
  <sheetViews>
    <sheetView showGridLines="0" showZeros="0" tabSelected="1" workbookViewId="0" topLeftCell="A39">
      <selection activeCell="B65" sqref="B65"/>
    </sheetView>
  </sheetViews>
  <sheetFormatPr defaultColWidth="9.00390625" defaultRowHeight="15.75"/>
  <cols>
    <col min="1" max="1" width="2.625" style="1" customWidth="1"/>
    <col min="2" max="2" width="30.25390625" style="1" customWidth="1"/>
    <col min="3" max="3" width="7.75390625" style="1" customWidth="1"/>
    <col min="4" max="4" width="14.50390625" style="1" customWidth="1"/>
    <col min="5" max="5" width="13.125" style="1" customWidth="1"/>
    <col min="6" max="6" width="19.875" style="1" hidden="1" customWidth="1"/>
    <col min="7" max="7" width="15.875" style="1" customWidth="1"/>
    <col min="8" max="8" width="6.875" style="1" customWidth="1"/>
    <col min="9" max="9" width="14.75390625" style="1" customWidth="1"/>
    <col min="10" max="10" width="9.00390625" style="1" customWidth="1"/>
    <col min="11" max="13" width="0" style="1" hidden="1" customWidth="1"/>
    <col min="14" max="71" width="9.00390625" style="1" customWidth="1"/>
    <col min="72" max="72" width="11.875" style="1" bestFit="1" customWidth="1"/>
    <col min="73" max="73" width="11.25390625" style="1" bestFit="1" customWidth="1"/>
    <col min="74" max="80" width="9.00390625" style="1" customWidth="1"/>
    <col min="81" max="81" width="9.50390625" style="1" bestFit="1" customWidth="1"/>
    <col min="82" max="16384" width="9.00390625" style="1" customWidth="1"/>
  </cols>
  <sheetData>
    <row r="1" ht="12.75" hidden="1"/>
    <row r="2" spans="2:9" ht="20.25" hidden="1">
      <c r="B2" s="104" t="s">
        <v>6</v>
      </c>
      <c r="C2" s="104"/>
      <c r="D2" s="104"/>
      <c r="E2" s="104"/>
      <c r="F2" s="104"/>
      <c r="G2" s="104"/>
      <c r="H2" s="101" t="s">
        <v>27</v>
      </c>
      <c r="I2" s="101"/>
    </row>
    <row r="3" spans="2:9" ht="18.75" customHeight="1" hidden="1">
      <c r="B3" s="48" t="s">
        <v>14</v>
      </c>
      <c r="C3" s="48"/>
      <c r="D3" s="48"/>
      <c r="E3" s="48"/>
      <c r="F3" s="48"/>
      <c r="G3" s="48"/>
      <c r="H3" s="102" t="s">
        <v>25</v>
      </c>
      <c r="I3" s="102"/>
    </row>
    <row r="4" spans="2:9" ht="39.75" customHeight="1" hidden="1">
      <c r="B4" s="2"/>
      <c r="C4" s="2"/>
      <c r="D4" s="24" t="s">
        <v>10</v>
      </c>
      <c r="E4" s="24" t="s">
        <v>11</v>
      </c>
      <c r="F4" s="24" t="s">
        <v>12</v>
      </c>
      <c r="G4" s="24" t="s">
        <v>26</v>
      </c>
      <c r="H4" s="24" t="s">
        <v>28</v>
      </c>
      <c r="I4" s="24" t="s">
        <v>29</v>
      </c>
    </row>
    <row r="5" spans="2:9" ht="15.75" hidden="1">
      <c r="B5" s="83" t="s">
        <v>7</v>
      </c>
      <c r="C5" s="84"/>
      <c r="D5" s="13">
        <v>100000</v>
      </c>
      <c r="E5" s="13">
        <v>80000</v>
      </c>
      <c r="F5" s="17"/>
      <c r="G5" s="25">
        <f>12*D5</f>
        <v>1200000</v>
      </c>
      <c r="H5" s="40">
        <f>IF(D5&lt;200000,D5,0)</f>
        <v>100000</v>
      </c>
      <c r="I5" s="40">
        <f>+G5</f>
        <v>1200000</v>
      </c>
    </row>
    <row r="6" spans="2:9" ht="15.75" hidden="1">
      <c r="B6" s="11"/>
      <c r="C6" s="12"/>
      <c r="D6" s="14"/>
      <c r="E6" s="14"/>
      <c r="F6" s="14"/>
      <c r="G6" s="25"/>
      <c r="H6" s="103"/>
      <c r="I6" s="103"/>
    </row>
    <row r="7" spans="2:9" ht="15.75" hidden="1">
      <c r="B7" s="9" t="s">
        <v>0</v>
      </c>
      <c r="C7" s="10"/>
      <c r="D7" s="15"/>
      <c r="E7" s="15"/>
      <c r="F7" s="16"/>
      <c r="G7" s="25"/>
      <c r="H7" s="103"/>
      <c r="I7" s="103"/>
    </row>
    <row r="8" spans="2:9" ht="15.75" hidden="1">
      <c r="B8" s="8" t="s">
        <v>20</v>
      </c>
      <c r="C8" s="26"/>
      <c r="D8" s="25"/>
      <c r="E8" s="17"/>
      <c r="F8" s="17"/>
      <c r="G8" s="25"/>
      <c r="H8" s="103"/>
      <c r="I8" s="103"/>
    </row>
    <row r="9" spans="2:9" ht="15.75" hidden="1">
      <c r="B9" s="8" t="s">
        <v>20</v>
      </c>
      <c r="C9" s="26"/>
      <c r="D9" s="25"/>
      <c r="E9" s="18"/>
      <c r="F9" s="19"/>
      <c r="G9" s="25"/>
      <c r="H9" s="103"/>
      <c r="I9" s="103"/>
    </row>
    <row r="10" spans="2:9" ht="15.75" hidden="1">
      <c r="B10" s="9" t="s">
        <v>8</v>
      </c>
      <c r="C10" s="10"/>
      <c r="D10" s="15"/>
      <c r="E10" s="15"/>
      <c r="F10" s="16"/>
      <c r="G10" s="25"/>
      <c r="H10" s="103"/>
      <c r="I10" s="103"/>
    </row>
    <row r="11" spans="2:9" ht="15.75" hidden="1">
      <c r="B11" s="8" t="s">
        <v>9</v>
      </c>
      <c r="C11" s="23">
        <v>0.12</v>
      </c>
      <c r="D11" s="25">
        <f>+C11*D5</f>
        <v>12000</v>
      </c>
      <c r="E11" s="25">
        <f>+C11*E5</f>
        <v>9600</v>
      </c>
      <c r="F11" s="25">
        <f>+D11-E11</f>
        <v>2400</v>
      </c>
      <c r="G11" s="25">
        <f aca="true" t="shared" si="0" ref="G11:G16">12*F11</f>
        <v>28800</v>
      </c>
      <c r="H11" s="41" t="e">
        <f>#REF!</f>
        <v>#REF!</v>
      </c>
      <c r="I11" s="41" t="e">
        <f>#REF!</f>
        <v>#REF!</v>
      </c>
    </row>
    <row r="12" spans="2:9" ht="15.75" hidden="1">
      <c r="B12" s="6" t="s">
        <v>1</v>
      </c>
      <c r="C12" s="7"/>
      <c r="D12" s="20"/>
      <c r="E12" s="20"/>
      <c r="F12" s="21"/>
      <c r="G12" s="25">
        <f t="shared" si="0"/>
        <v>0</v>
      </c>
      <c r="H12" s="90"/>
      <c r="I12" s="91"/>
    </row>
    <row r="13" spans="1:9" ht="15.75" hidden="1">
      <c r="A13" s="5">
        <f>IF(D5&lt;1800,((D5*15%)-135),0)</f>
        <v>0</v>
      </c>
      <c r="B13" s="8" t="s">
        <v>2</v>
      </c>
      <c r="C13" s="26">
        <v>0.012</v>
      </c>
      <c r="D13" s="18"/>
      <c r="E13" s="18"/>
      <c r="F13" s="25">
        <f>+C13*D$5</f>
        <v>1200</v>
      </c>
      <c r="G13" s="25">
        <f t="shared" si="0"/>
        <v>14400</v>
      </c>
      <c r="H13" s="41"/>
      <c r="I13" s="41"/>
    </row>
    <row r="14" spans="1:9" ht="15.75" hidden="1">
      <c r="A14" s="5">
        <f>IF(D5&gt;1800,((D5*27.5%)-360),0)</f>
        <v>27140.000000000004</v>
      </c>
      <c r="B14" s="8" t="s">
        <v>3</v>
      </c>
      <c r="C14" s="26">
        <v>0.0108</v>
      </c>
      <c r="D14" s="22"/>
      <c r="E14" s="22"/>
      <c r="F14" s="25">
        <f>+C14*D$5</f>
        <v>1080</v>
      </c>
      <c r="G14" s="25">
        <f t="shared" si="0"/>
        <v>12960</v>
      </c>
      <c r="H14" s="41"/>
      <c r="I14" s="41"/>
    </row>
    <row r="15" spans="2:9" ht="15.75" hidden="1">
      <c r="B15" s="8" t="s">
        <v>4</v>
      </c>
      <c r="C15" s="26">
        <v>0.0065</v>
      </c>
      <c r="D15" s="22"/>
      <c r="E15" s="22"/>
      <c r="F15" s="25">
        <f>+C15*D$5</f>
        <v>650</v>
      </c>
      <c r="G15" s="25">
        <f t="shared" si="0"/>
        <v>7800</v>
      </c>
      <c r="H15" s="41"/>
      <c r="I15" s="41"/>
    </row>
    <row r="16" spans="2:9" ht="15.75" hidden="1">
      <c r="B16" s="8" t="s">
        <v>5</v>
      </c>
      <c r="C16" s="26">
        <v>0.03</v>
      </c>
      <c r="D16" s="22"/>
      <c r="E16" s="22"/>
      <c r="F16" s="25">
        <f>+C16*D$5</f>
        <v>3000</v>
      </c>
      <c r="G16" s="25">
        <f t="shared" si="0"/>
        <v>36000</v>
      </c>
      <c r="H16" s="41"/>
      <c r="I16" s="41"/>
    </row>
    <row r="17" spans="2:9" ht="15.75" hidden="1">
      <c r="B17" s="8" t="s">
        <v>30</v>
      </c>
      <c r="C17" s="87"/>
      <c r="D17" s="88"/>
      <c r="E17" s="88"/>
      <c r="F17" s="88"/>
      <c r="G17" s="89"/>
      <c r="H17" s="41" t="e">
        <f>+I17/12</f>
        <v>#REF!</v>
      </c>
      <c r="I17" s="41" t="e">
        <f>+#REF!</f>
        <v>#REF!</v>
      </c>
    </row>
    <row r="18" spans="2:9" ht="15.75" hidden="1">
      <c r="B18" s="73" t="s">
        <v>13</v>
      </c>
      <c r="C18" s="74"/>
      <c r="D18" s="74"/>
      <c r="E18" s="28">
        <f>+F18/D5</f>
        <v>0.0833</v>
      </c>
      <c r="F18" s="27">
        <f>SUM(F9:F16)</f>
        <v>8330</v>
      </c>
      <c r="G18" s="25">
        <f>12*F18</f>
        <v>99960</v>
      </c>
      <c r="H18" s="43" t="e">
        <f>SUM(H11:H17)</f>
        <v>#REF!</v>
      </c>
      <c r="I18" s="43" t="e">
        <f>SUM(I11:I17)</f>
        <v>#REF!</v>
      </c>
    </row>
    <row r="19" spans="2:9" ht="15.75" hidden="1">
      <c r="B19" s="4"/>
      <c r="C19" s="4"/>
      <c r="D19" s="4"/>
      <c r="E19" s="4"/>
      <c r="F19" s="4"/>
      <c r="G19" s="4"/>
      <c r="H19" s="94" t="e">
        <f>+H18/H5</f>
        <v>#REF!</v>
      </c>
      <c r="I19" s="95"/>
    </row>
    <row r="20" spans="2:7" ht="52.5" customHeight="1" hidden="1">
      <c r="B20" s="4"/>
      <c r="C20" s="4"/>
      <c r="D20" s="4"/>
      <c r="E20" s="4"/>
      <c r="F20" s="4"/>
      <c r="G20" s="4"/>
    </row>
    <row r="21" spans="2:9" ht="20.25" hidden="1">
      <c r="B21" s="92" t="s">
        <v>6</v>
      </c>
      <c r="C21" s="92"/>
      <c r="D21" s="92"/>
      <c r="E21" s="92"/>
      <c r="F21" s="92"/>
      <c r="G21" s="92"/>
      <c r="H21" s="101" t="s">
        <v>27</v>
      </c>
      <c r="I21" s="101"/>
    </row>
    <row r="22" spans="2:9" ht="20.25" customHeight="1" hidden="1">
      <c r="B22" s="93" t="s">
        <v>15</v>
      </c>
      <c r="C22" s="93"/>
      <c r="D22" s="93"/>
      <c r="E22" s="93"/>
      <c r="F22" s="93"/>
      <c r="G22" s="93"/>
      <c r="H22" s="102" t="s">
        <v>25</v>
      </c>
      <c r="I22" s="102"/>
    </row>
    <row r="23" spans="2:9" ht="45" hidden="1">
      <c r="B23" s="2"/>
      <c r="C23" s="2"/>
      <c r="D23" s="24" t="s">
        <v>10</v>
      </c>
      <c r="E23" s="24" t="s">
        <v>11</v>
      </c>
      <c r="F23" s="24" t="s">
        <v>12</v>
      </c>
      <c r="G23" s="24" t="s">
        <v>26</v>
      </c>
      <c r="H23" s="24" t="s">
        <v>28</v>
      </c>
      <c r="I23" s="24" t="s">
        <v>29</v>
      </c>
    </row>
    <row r="24" spans="2:9" ht="15.75" hidden="1">
      <c r="B24" s="83" t="s">
        <v>16</v>
      </c>
      <c r="C24" s="84"/>
      <c r="D24" s="30">
        <v>10000</v>
      </c>
      <c r="E24" s="85"/>
      <c r="F24" s="17"/>
      <c r="G24" s="25">
        <f>12*D24</f>
        <v>120000</v>
      </c>
      <c r="H24" s="40">
        <f>IF(D24&lt;=20000,D24,0)</f>
        <v>10000</v>
      </c>
      <c r="I24" s="40">
        <f>+H24*12</f>
        <v>120000</v>
      </c>
    </row>
    <row r="25" spans="2:9" ht="15.75" hidden="1">
      <c r="B25" s="83" t="s">
        <v>17</v>
      </c>
      <c r="C25" s="84"/>
      <c r="D25" s="29">
        <v>100000</v>
      </c>
      <c r="E25" s="86"/>
      <c r="F25" s="17"/>
      <c r="G25" s="25">
        <f>12*D25</f>
        <v>1200000</v>
      </c>
      <c r="H25" s="49" t="s">
        <v>31</v>
      </c>
      <c r="I25" s="105"/>
    </row>
    <row r="26" spans="2:9" ht="15.75" hidden="1">
      <c r="B26" s="11"/>
      <c r="C26" s="12"/>
      <c r="D26" s="14"/>
      <c r="E26" s="14"/>
      <c r="F26" s="14"/>
      <c r="G26" s="25"/>
      <c r="H26" s="96"/>
      <c r="I26" s="97"/>
    </row>
    <row r="27" spans="2:9" ht="15.75" hidden="1">
      <c r="B27" s="9" t="s">
        <v>0</v>
      </c>
      <c r="C27" s="10"/>
      <c r="D27" s="15"/>
      <c r="E27" s="15"/>
      <c r="F27" s="16"/>
      <c r="G27" s="25"/>
      <c r="H27" s="98"/>
      <c r="I27" s="75"/>
    </row>
    <row r="28" spans="2:9" ht="15.75" hidden="1">
      <c r="B28" s="8" t="s">
        <v>18</v>
      </c>
      <c r="C28" s="26">
        <v>0.05</v>
      </c>
      <c r="D28" s="25">
        <f>+C28*D24</f>
        <v>500</v>
      </c>
      <c r="E28" s="17"/>
      <c r="F28" s="25">
        <f>+D28</f>
        <v>500</v>
      </c>
      <c r="G28" s="25">
        <f aca="true" t="shared" si="1" ref="G28:G36">12*F28</f>
        <v>6000</v>
      </c>
      <c r="H28" s="98"/>
      <c r="I28" s="75"/>
    </row>
    <row r="29" spans="2:9" ht="15.75" hidden="1">
      <c r="B29" s="8" t="s">
        <v>19</v>
      </c>
      <c r="C29" s="26">
        <v>0.02</v>
      </c>
      <c r="D29" s="25">
        <f>+C29*D25</f>
        <v>2000</v>
      </c>
      <c r="E29" s="18"/>
      <c r="F29" s="25">
        <f>+D29</f>
        <v>2000</v>
      </c>
      <c r="G29" s="25">
        <f t="shared" si="1"/>
        <v>24000</v>
      </c>
      <c r="H29" s="98"/>
      <c r="I29" s="75"/>
    </row>
    <row r="30" spans="2:9" ht="15.75" hidden="1">
      <c r="B30" s="9" t="s">
        <v>8</v>
      </c>
      <c r="C30" s="10"/>
      <c r="D30" s="15"/>
      <c r="E30" s="15"/>
      <c r="F30" s="16"/>
      <c r="G30" s="25">
        <f t="shared" si="1"/>
        <v>0</v>
      </c>
      <c r="H30" s="98"/>
      <c r="I30" s="75"/>
    </row>
    <row r="31" spans="2:9" ht="15.75" hidden="1">
      <c r="B31" s="8" t="s">
        <v>9</v>
      </c>
      <c r="C31" s="23">
        <v>0</v>
      </c>
      <c r="D31" s="25">
        <f>+C31*D24</f>
        <v>0</v>
      </c>
      <c r="E31" s="25">
        <f>+C31*E24</f>
        <v>0</v>
      </c>
      <c r="F31" s="25">
        <f>+D31-E31</f>
        <v>0</v>
      </c>
      <c r="G31" s="25">
        <f t="shared" si="1"/>
        <v>0</v>
      </c>
      <c r="H31" s="98"/>
      <c r="I31" s="75"/>
    </row>
    <row r="32" spans="2:9" ht="15.75" hidden="1">
      <c r="B32" s="6" t="s">
        <v>1</v>
      </c>
      <c r="C32" s="7"/>
      <c r="D32" s="20"/>
      <c r="E32" s="20"/>
      <c r="F32" s="21"/>
      <c r="G32" s="25">
        <f t="shared" si="1"/>
        <v>0</v>
      </c>
      <c r="H32" s="98"/>
      <c r="I32" s="75"/>
    </row>
    <row r="33" spans="2:9" ht="15.75" hidden="1">
      <c r="B33" s="8" t="s">
        <v>2</v>
      </c>
      <c r="C33" s="26">
        <v>0.048</v>
      </c>
      <c r="D33" s="18"/>
      <c r="E33" s="18"/>
      <c r="F33" s="25">
        <f>+C33*D$5</f>
        <v>4800</v>
      </c>
      <c r="G33" s="25">
        <f t="shared" si="1"/>
        <v>57600</v>
      </c>
      <c r="H33" s="98"/>
      <c r="I33" s="75"/>
    </row>
    <row r="34" spans="2:9" ht="15.75" hidden="1">
      <c r="B34" s="8" t="s">
        <v>3</v>
      </c>
      <c r="C34" s="26">
        <v>0.0288</v>
      </c>
      <c r="D34" s="22"/>
      <c r="E34" s="22"/>
      <c r="F34" s="25">
        <f>+C34*D$5</f>
        <v>2880</v>
      </c>
      <c r="G34" s="25">
        <f t="shared" si="1"/>
        <v>34560</v>
      </c>
      <c r="H34" s="98"/>
      <c r="I34" s="75"/>
    </row>
    <row r="35" spans="2:9" ht="15.75" hidden="1">
      <c r="B35" s="8" t="s">
        <v>4</v>
      </c>
      <c r="C35" s="26">
        <v>0.0065</v>
      </c>
      <c r="D35" s="22"/>
      <c r="E35" s="22"/>
      <c r="F35" s="25">
        <f>+C35*D$5</f>
        <v>650</v>
      </c>
      <c r="G35" s="25">
        <f t="shared" si="1"/>
        <v>7800</v>
      </c>
      <c r="H35" s="98"/>
      <c r="I35" s="75"/>
    </row>
    <row r="36" spans="2:9" ht="15.75" hidden="1">
      <c r="B36" s="8" t="s">
        <v>5</v>
      </c>
      <c r="C36" s="26">
        <v>0.03</v>
      </c>
      <c r="D36" s="22"/>
      <c r="E36" s="22"/>
      <c r="F36" s="25">
        <f>+C36*D$5</f>
        <v>3000</v>
      </c>
      <c r="G36" s="25">
        <f t="shared" si="1"/>
        <v>36000</v>
      </c>
      <c r="H36" s="99"/>
      <c r="I36" s="100"/>
    </row>
    <row r="37" spans="2:9" ht="15.75" hidden="1">
      <c r="B37" s="8" t="s">
        <v>30</v>
      </c>
      <c r="C37" s="87"/>
      <c r="D37" s="88"/>
      <c r="E37" s="88"/>
      <c r="F37" s="88"/>
      <c r="G37" s="89"/>
      <c r="H37" s="43" t="e">
        <f>+I37/12</f>
        <v>#REF!</v>
      </c>
      <c r="I37" s="43" t="e">
        <f>+#REF!</f>
        <v>#REF!</v>
      </c>
    </row>
    <row r="38" spans="2:9" ht="15.75" hidden="1">
      <c r="B38" s="73" t="s">
        <v>13</v>
      </c>
      <c r="C38" s="74"/>
      <c r="D38" s="74"/>
      <c r="E38" s="28">
        <f>+F38/(D24+D25)</f>
        <v>0.12572727272727272</v>
      </c>
      <c r="F38" s="27">
        <f>SUM(F28:F36)</f>
        <v>13830</v>
      </c>
      <c r="G38" s="27">
        <f>SUM(G28:G36)</f>
        <v>165960</v>
      </c>
      <c r="H38" s="94" t="e">
        <f>+H37/H24</f>
        <v>#REF!</v>
      </c>
      <c r="I38" s="95"/>
    </row>
    <row r="39" ht="12.75"/>
    <row r="40" ht="12.75"/>
    <row r="41" spans="2:7" ht="20.25">
      <c r="B41" s="81" t="s">
        <v>6</v>
      </c>
      <c r="C41" s="81"/>
      <c r="D41" s="81"/>
      <c r="E41" s="81"/>
      <c r="F41" s="81"/>
      <c r="G41" s="81"/>
    </row>
    <row r="42" spans="2:7" ht="20.25">
      <c r="B42" s="82" t="s">
        <v>49</v>
      </c>
      <c r="C42" s="82"/>
      <c r="D42" s="82"/>
      <c r="E42" s="82"/>
      <c r="F42" s="82"/>
      <c r="G42" s="82"/>
    </row>
    <row r="43" spans="2:7" s="50" customFormat="1" ht="9.75" customHeight="1">
      <c r="B43" s="77"/>
      <c r="C43" s="77"/>
      <c r="D43" s="77"/>
      <c r="E43" s="77"/>
      <c r="F43" s="77"/>
      <c r="G43" s="77"/>
    </row>
    <row r="44" spans="2:12" ht="15.75" hidden="1">
      <c r="B44" s="51" t="s">
        <v>50</v>
      </c>
      <c r="C44" s="53">
        <v>0.32</v>
      </c>
      <c r="D44" s="42"/>
      <c r="E44" s="42"/>
      <c r="F44" s="42"/>
      <c r="G44" s="25">
        <f>G48*C44</f>
        <v>480</v>
      </c>
      <c r="L44" s="3">
        <f>0.32*D44</f>
        <v>0</v>
      </c>
    </row>
    <row r="45" spans="2:12" ht="15.75" customHeight="1" hidden="1">
      <c r="B45" s="51"/>
      <c r="C45" s="52"/>
      <c r="D45" s="42"/>
      <c r="E45" s="42"/>
      <c r="F45" s="42"/>
      <c r="G45" s="25"/>
      <c r="L45" s="3">
        <f>0.32*D45</f>
        <v>0</v>
      </c>
    </row>
    <row r="46" s="50" customFormat="1" ht="9.75" customHeight="1"/>
    <row r="47" spans="2:13" ht="63">
      <c r="B47" s="51"/>
      <c r="C47" s="52"/>
      <c r="D47" s="69" t="s">
        <v>51</v>
      </c>
      <c r="E47" s="70" t="s">
        <v>52</v>
      </c>
      <c r="F47" s="71" t="s">
        <v>53</v>
      </c>
      <c r="G47" s="72" t="s">
        <v>53</v>
      </c>
      <c r="L47" s="3">
        <f>0.08*G48</f>
        <v>120</v>
      </c>
      <c r="M47" s="3">
        <f>+L44+L45+L47</f>
        <v>120</v>
      </c>
    </row>
    <row r="48" spans="2:9" ht="30" customHeight="1">
      <c r="B48" s="78" t="s">
        <v>7</v>
      </c>
      <c r="C48" s="78"/>
      <c r="D48" s="78"/>
      <c r="E48" s="78"/>
      <c r="F48" s="78"/>
      <c r="G48" s="64">
        <v>1500</v>
      </c>
      <c r="I48" s="3"/>
    </row>
    <row r="49" spans="2:12" ht="15" customHeight="1">
      <c r="B49" s="55"/>
      <c r="C49" s="56"/>
      <c r="D49" s="56"/>
      <c r="E49" s="56"/>
      <c r="F49" s="56"/>
      <c r="G49" s="56"/>
      <c r="L49" s="3"/>
    </row>
    <row r="50" spans="2:7" ht="15.75">
      <c r="B50" s="9" t="s">
        <v>0</v>
      </c>
      <c r="C50" s="10"/>
      <c r="D50" s="15"/>
      <c r="E50" s="15"/>
      <c r="F50" s="16"/>
      <c r="G50" s="16"/>
    </row>
    <row r="51" spans="2:7" ht="12.75">
      <c r="B51" s="8" t="s">
        <v>33</v>
      </c>
      <c r="C51" s="26">
        <v>0.05</v>
      </c>
      <c r="D51" s="57">
        <f>G48*C51</f>
        <v>75</v>
      </c>
      <c r="E51" s="58">
        <f>C51*G48</f>
        <v>75</v>
      </c>
      <c r="F51" s="54"/>
      <c r="G51" s="59"/>
    </row>
    <row r="52" spans="2:7" ht="12.75">
      <c r="B52" s="8"/>
      <c r="C52" s="26"/>
      <c r="D52" s="57"/>
      <c r="E52" s="58"/>
      <c r="F52" s="54"/>
      <c r="G52" s="59"/>
    </row>
    <row r="53" spans="2:7" ht="12.75">
      <c r="B53" s="9" t="s">
        <v>8</v>
      </c>
      <c r="C53" s="10"/>
      <c r="D53" s="57"/>
      <c r="E53" s="58"/>
      <c r="F53" s="54"/>
      <c r="G53" s="59"/>
    </row>
    <row r="54" spans="2:7" ht="12.75">
      <c r="B54" s="8" t="s">
        <v>9</v>
      </c>
      <c r="C54" s="23"/>
      <c r="D54" s="57"/>
      <c r="E54" s="58"/>
      <c r="F54" s="54"/>
      <c r="G54" s="59"/>
    </row>
    <row r="55" spans="2:7" ht="12.75">
      <c r="B55" s="6" t="s">
        <v>1</v>
      </c>
      <c r="C55" s="7"/>
      <c r="D55" s="57"/>
      <c r="E55" s="58"/>
      <c r="F55" s="54"/>
      <c r="G55" s="59"/>
    </row>
    <row r="56" spans="2:7" ht="12.75">
      <c r="B56" s="8" t="s">
        <v>54</v>
      </c>
      <c r="C56" s="26">
        <v>0.015</v>
      </c>
      <c r="D56" s="57"/>
      <c r="E56" s="58">
        <f>C56*G48</f>
        <v>22.5</v>
      </c>
      <c r="F56" s="54"/>
      <c r="G56" s="59"/>
    </row>
    <row r="57" spans="2:7" ht="12.75">
      <c r="B57" s="8" t="s">
        <v>55</v>
      </c>
      <c r="C57" s="26">
        <v>0.033</v>
      </c>
      <c r="D57" s="57"/>
      <c r="E57" s="58">
        <f>C57*G48</f>
        <v>49.5</v>
      </c>
      <c r="F57" s="54"/>
      <c r="G57" s="59"/>
    </row>
    <row r="58" spans="2:7" ht="12.75">
      <c r="B58" s="31" t="s">
        <v>21</v>
      </c>
      <c r="C58" s="32">
        <v>0.1</v>
      </c>
      <c r="D58" s="57"/>
      <c r="E58" s="58">
        <f>IF(G44&gt;60000,(G44-60000)*10%,0)</f>
        <v>0</v>
      </c>
      <c r="F58" s="54"/>
      <c r="G58" s="59"/>
    </row>
    <row r="59" spans="2:7" ht="12.75">
      <c r="B59" s="8" t="s">
        <v>56</v>
      </c>
      <c r="C59" s="26">
        <v>0.01</v>
      </c>
      <c r="D59" s="57"/>
      <c r="E59" s="58">
        <f>C59*G48</f>
        <v>15</v>
      </c>
      <c r="F59" s="54"/>
      <c r="G59" s="59"/>
    </row>
    <row r="60" spans="2:7" ht="12.75">
      <c r="B60" s="8" t="s">
        <v>57</v>
      </c>
      <c r="C60" s="26">
        <v>0.0188</v>
      </c>
      <c r="D60" s="57"/>
      <c r="E60" s="58">
        <f>G48*C60</f>
        <v>28.200000000000003</v>
      </c>
      <c r="F60" s="54"/>
      <c r="G60" s="59"/>
    </row>
    <row r="61" spans="2:7" ht="12.75">
      <c r="B61" s="8" t="s">
        <v>4</v>
      </c>
      <c r="C61" s="26">
        <v>0.0065</v>
      </c>
      <c r="D61" s="57"/>
      <c r="E61" s="58">
        <f>C61*G48</f>
        <v>9.75</v>
      </c>
      <c r="F61" s="54"/>
      <c r="G61" s="59"/>
    </row>
    <row r="62" spans="2:7" ht="12.75">
      <c r="B62" s="8" t="s">
        <v>58</v>
      </c>
      <c r="C62" s="26">
        <v>0.03</v>
      </c>
      <c r="D62" s="57"/>
      <c r="E62" s="58">
        <f>C62*G48</f>
        <v>45</v>
      </c>
      <c r="F62" s="54"/>
      <c r="G62" s="59"/>
    </row>
    <row r="63" spans="2:7" ht="12.75">
      <c r="B63" s="8" t="s">
        <v>59</v>
      </c>
      <c r="C63" s="26">
        <v>0.076</v>
      </c>
      <c r="D63" s="57">
        <f>C63*G48</f>
        <v>114</v>
      </c>
      <c r="E63" s="58"/>
      <c r="F63" s="54"/>
      <c r="G63" s="59"/>
    </row>
    <row r="64" spans="2:7" ht="12.75">
      <c r="B64" s="8" t="s">
        <v>23</v>
      </c>
      <c r="C64" s="26">
        <f>$CC$94</f>
        <v>0.06</v>
      </c>
      <c r="D64" s="57"/>
      <c r="E64" s="58"/>
      <c r="F64" s="54"/>
      <c r="G64" s="59">
        <f>G48*C64</f>
        <v>90</v>
      </c>
    </row>
    <row r="65" spans="2:8" ht="15.75">
      <c r="B65" s="106" t="s">
        <v>34</v>
      </c>
      <c r="C65" s="47"/>
      <c r="D65" s="65">
        <f>SUM(D51:D63)</f>
        <v>189</v>
      </c>
      <c r="E65" s="65">
        <f>SUM(E51:E64)</f>
        <v>244.95</v>
      </c>
      <c r="F65" s="66">
        <f>SUM(F51:F63)</f>
        <v>0</v>
      </c>
      <c r="G65" s="65">
        <f>G64</f>
        <v>90</v>
      </c>
      <c r="H65" s="3"/>
    </row>
    <row r="66" spans="2:8" ht="15.75" hidden="1">
      <c r="B66" s="44"/>
      <c r="C66" s="44"/>
      <c r="D66" s="44"/>
      <c r="E66" s="45"/>
      <c r="F66" s="46"/>
      <c r="G66" s="46"/>
      <c r="H66" s="3"/>
    </row>
    <row r="67" spans="2:8" ht="12.75" hidden="1">
      <c r="B67" s="79" t="s">
        <v>35</v>
      </c>
      <c r="C67" s="80"/>
      <c r="D67" s="80"/>
      <c r="E67" s="80"/>
      <c r="F67" s="80"/>
      <c r="G67" s="80"/>
      <c r="H67" s="3"/>
    </row>
    <row r="68" spans="2:8" ht="15.75" hidden="1">
      <c r="B68" s="9" t="s">
        <v>36</v>
      </c>
      <c r="C68" s="10"/>
      <c r="D68" s="15"/>
      <c r="E68" s="15" t="s">
        <v>45</v>
      </c>
      <c r="F68" s="16"/>
      <c r="G68" s="16" t="s">
        <v>44</v>
      </c>
      <c r="H68" s="3"/>
    </row>
    <row r="69" spans="2:8" ht="15.75" customHeight="1" hidden="1">
      <c r="B69" s="73" t="s">
        <v>37</v>
      </c>
      <c r="C69" s="74"/>
      <c r="D69" s="74"/>
      <c r="E69" s="15"/>
      <c r="F69" s="16"/>
      <c r="G69" s="16">
        <v>100</v>
      </c>
      <c r="H69" s="3"/>
    </row>
    <row r="70" spans="2:92" ht="15.75" customHeight="1" hidden="1">
      <c r="B70" s="73" t="s">
        <v>38</v>
      </c>
      <c r="C70" s="74"/>
      <c r="D70" s="74"/>
      <c r="E70" s="15"/>
      <c r="F70" s="16"/>
      <c r="G70" s="16">
        <v>100</v>
      </c>
      <c r="H70" s="3"/>
      <c r="BT70" s="60" t="s">
        <v>60</v>
      </c>
      <c r="BU70" s="61"/>
      <c r="BV70" s="62" t="s">
        <v>61</v>
      </c>
      <c r="BW70" s="62" t="s">
        <v>62</v>
      </c>
      <c r="BX70" s="62" t="s">
        <v>63</v>
      </c>
      <c r="BY70" s="62" t="s">
        <v>64</v>
      </c>
      <c r="BZ70" s="62" t="s">
        <v>65</v>
      </c>
      <c r="CA70" s="4"/>
      <c r="CB70" s="33" t="s">
        <v>24</v>
      </c>
      <c r="CC70" s="34" t="str">
        <f>B10</f>
        <v>IMPOSTOS ESTADUAIS</v>
      </c>
      <c r="CD70" s="34" t="str">
        <f>B11</f>
        <v>ICMS</v>
      </c>
      <c r="CE70" s="34" t="str">
        <f>B12</f>
        <v>IMPOSTOS FEDERAIS</v>
      </c>
      <c r="CF70" s="34" t="str">
        <f>B13</f>
        <v>IMPOSTO DE RENDA</v>
      </c>
      <c r="CG70" s="34" t="str">
        <f>B14</f>
        <v>CONTRIBUIÇÃO SOCIAL</v>
      </c>
      <c r="CH70" s="34" t="str">
        <f>B15</f>
        <v>PIS S/FATURAMENTO</v>
      </c>
      <c r="CI70" s="34" t="str">
        <f>B16</f>
        <v>COFINS</v>
      </c>
      <c r="CJ70" s="34" t="str">
        <f>B17</f>
        <v>SIMPLES (2)</v>
      </c>
      <c r="CK70" s="34" t="str">
        <f>B18</f>
        <v>GASTO GERAL COM IMPOSTOS</v>
      </c>
      <c r="CL70" s="34">
        <f>B19</f>
        <v>0</v>
      </c>
      <c r="CM70" s="34">
        <f>B20</f>
        <v>0</v>
      </c>
      <c r="CN70" s="34" t="str">
        <f>B21</f>
        <v>QUADRO TRIBUTÁRIO</v>
      </c>
    </row>
    <row r="71" spans="2:92" ht="15.75" hidden="1">
      <c r="B71" s="73" t="s">
        <v>48</v>
      </c>
      <c r="C71" s="74"/>
      <c r="D71" s="74"/>
      <c r="E71" s="15"/>
      <c r="F71" s="16"/>
      <c r="G71" s="16">
        <f>750*12</f>
        <v>9000</v>
      </c>
      <c r="H71" s="3"/>
      <c r="BT71" s="63" t="s">
        <v>66</v>
      </c>
      <c r="BU71" s="63" t="s">
        <v>67</v>
      </c>
      <c r="BV71" s="4"/>
      <c r="BW71" s="4"/>
      <c r="BX71" s="4"/>
      <c r="BY71" s="4"/>
      <c r="BZ71" s="4"/>
      <c r="CA71" s="4"/>
      <c r="CB71" s="35"/>
      <c r="CC71" s="36">
        <f>G48*12</f>
        <v>18000</v>
      </c>
      <c r="CD71" s="36">
        <f>IF('[1]MEDIA'!$C18&gt;0,'[1]MEDIA'!$D18,0)</f>
        <v>0</v>
      </c>
      <c r="CE71" s="36">
        <f>IF('[1]MEDIA'!$C19&gt;0,'[1]MEDIA'!$D19,0)</f>
        <v>0</v>
      </c>
      <c r="CF71" s="36">
        <f>IF('[1]MEDIA'!$C20&gt;0,'[1]MEDIA'!$D20,0)</f>
        <v>0</v>
      </c>
      <c r="CG71" s="36">
        <f>IF('[1]MEDIA'!$C21&gt;0,'[1]MEDIA'!$D21,0)</f>
        <v>0</v>
      </c>
      <c r="CH71" s="36">
        <f>IF('[1]MEDIA'!$C22&gt;0,'[1]MEDIA'!$D22,0)</f>
        <v>0</v>
      </c>
      <c r="CI71" s="36">
        <f>IF('[1]MEDIA'!$C23&gt;0,'[1]MEDIA'!$D23,0)</f>
        <v>0</v>
      </c>
      <c r="CJ71" s="36">
        <f>IF('[1]MEDIA'!$C24&gt;0,'[1]MEDIA'!$D24,0)</f>
        <v>0</v>
      </c>
      <c r="CK71" s="36">
        <f>IF('[1]MEDIA'!$C25&gt;0,'[1]MEDIA'!$D25,0)</f>
        <v>0</v>
      </c>
      <c r="CL71" s="36">
        <f>IF('[1]MEDIA'!$C26&gt;0,'[1]MEDIA'!$D26,0)</f>
        <v>0</v>
      </c>
      <c r="CM71" s="36">
        <f>IF('[1]MEDIA'!$C27&gt;0,'[1]MEDIA'!$D27,0)</f>
        <v>0</v>
      </c>
      <c r="CN71" s="36">
        <f>IF('[1]MEDIA'!$C28&gt;0,'[1]MEDIA'!$D28,0)</f>
        <v>0</v>
      </c>
    </row>
    <row r="72" spans="2:92" ht="15.75" customHeight="1" hidden="1">
      <c r="B72" s="73" t="s">
        <v>39</v>
      </c>
      <c r="C72" s="74"/>
      <c r="D72" s="74"/>
      <c r="E72" s="15"/>
      <c r="F72" s="16"/>
      <c r="G72" s="16">
        <v>750</v>
      </c>
      <c r="H72" s="3"/>
      <c r="BT72" s="67">
        <v>0.01</v>
      </c>
      <c r="BU72" s="67">
        <v>120000</v>
      </c>
      <c r="BV72" s="37"/>
      <c r="BW72" s="37"/>
      <c r="BX72" s="68">
        <v>0.06</v>
      </c>
      <c r="BY72" s="37"/>
      <c r="BZ72" s="37"/>
      <c r="CA72" s="4"/>
      <c r="CB72" s="37">
        <f>SUM(BV72:BZ72)</f>
        <v>0.06</v>
      </c>
      <c r="CC72" s="38">
        <f aca="true" t="shared" si="2" ref="CC72:CN87">IF(AND($BT72&lt;=CC$71,CC$71&lt;=$BU72),$CB72,0)</f>
        <v>0.06</v>
      </c>
      <c r="CD72" s="38">
        <f t="shared" si="2"/>
        <v>0</v>
      </c>
      <c r="CE72" s="38">
        <f t="shared" si="2"/>
        <v>0</v>
      </c>
      <c r="CF72" s="38">
        <f t="shared" si="2"/>
        <v>0</v>
      </c>
      <c r="CG72" s="38">
        <f t="shared" si="2"/>
        <v>0</v>
      </c>
      <c r="CH72" s="38">
        <f t="shared" si="2"/>
        <v>0</v>
      </c>
      <c r="CI72" s="38">
        <f t="shared" si="2"/>
        <v>0</v>
      </c>
      <c r="CJ72" s="38">
        <f t="shared" si="2"/>
        <v>0</v>
      </c>
      <c r="CK72" s="38">
        <f t="shared" si="2"/>
        <v>0</v>
      </c>
      <c r="CL72" s="38">
        <f t="shared" si="2"/>
        <v>0</v>
      </c>
      <c r="CM72" s="38">
        <f t="shared" si="2"/>
        <v>0</v>
      </c>
      <c r="CN72" s="38">
        <f t="shared" si="2"/>
        <v>0</v>
      </c>
    </row>
    <row r="73" spans="2:92" ht="15.75" customHeight="1" hidden="1">
      <c r="B73" s="73" t="s">
        <v>40</v>
      </c>
      <c r="C73" s="74"/>
      <c r="D73" s="74"/>
      <c r="E73" s="15"/>
      <c r="F73" s="16"/>
      <c r="G73" s="16">
        <v>35</v>
      </c>
      <c r="H73" s="3"/>
      <c r="BT73" s="67">
        <f>BU72+0.01</f>
        <v>120000.01</v>
      </c>
      <c r="BU73" s="67">
        <v>240000</v>
      </c>
      <c r="BV73" s="37"/>
      <c r="BW73" s="37"/>
      <c r="BX73" s="68">
        <v>0.0821</v>
      </c>
      <c r="BY73" s="37"/>
      <c r="BZ73" s="37"/>
      <c r="CA73" s="4"/>
      <c r="CB73" s="37">
        <f aca="true" t="shared" si="3" ref="CB73:CB91">SUM(BV73:BZ73)</f>
        <v>0.0821</v>
      </c>
      <c r="CC73" s="38">
        <f t="shared" si="2"/>
        <v>0</v>
      </c>
      <c r="CD73" s="38">
        <f t="shared" si="2"/>
        <v>0</v>
      </c>
      <c r="CE73" s="38">
        <f t="shared" si="2"/>
        <v>0</v>
      </c>
      <c r="CF73" s="38">
        <f t="shared" si="2"/>
        <v>0</v>
      </c>
      <c r="CG73" s="38">
        <f t="shared" si="2"/>
        <v>0</v>
      </c>
      <c r="CH73" s="38">
        <f t="shared" si="2"/>
        <v>0</v>
      </c>
      <c r="CI73" s="38">
        <f t="shared" si="2"/>
        <v>0</v>
      </c>
      <c r="CJ73" s="38">
        <f t="shared" si="2"/>
        <v>0</v>
      </c>
      <c r="CK73" s="38">
        <f t="shared" si="2"/>
        <v>0</v>
      </c>
      <c r="CL73" s="38">
        <f t="shared" si="2"/>
        <v>0</v>
      </c>
      <c r="CM73" s="38">
        <f t="shared" si="2"/>
        <v>0</v>
      </c>
      <c r="CN73" s="38">
        <f t="shared" si="2"/>
        <v>0</v>
      </c>
    </row>
    <row r="74" spans="2:92" ht="15.75" customHeight="1" hidden="1">
      <c r="B74" s="73" t="s">
        <v>41</v>
      </c>
      <c r="C74" s="74"/>
      <c r="D74" s="74"/>
      <c r="E74" s="15"/>
      <c r="F74" s="16"/>
      <c r="G74" s="16">
        <v>75</v>
      </c>
      <c r="H74" s="3"/>
      <c r="BT74" s="67">
        <f>BU73+0.01</f>
        <v>240000.01</v>
      </c>
      <c r="BU74" s="67">
        <v>360000</v>
      </c>
      <c r="BV74" s="37"/>
      <c r="BW74" s="37"/>
      <c r="BX74" s="68">
        <v>0.1026</v>
      </c>
      <c r="BY74" s="37"/>
      <c r="BZ74" s="37"/>
      <c r="CA74" s="4"/>
      <c r="CB74" s="37">
        <f t="shared" si="3"/>
        <v>0.1026</v>
      </c>
      <c r="CC74" s="38">
        <f t="shared" si="2"/>
        <v>0</v>
      </c>
      <c r="CD74" s="38">
        <f t="shared" si="2"/>
        <v>0</v>
      </c>
      <c r="CE74" s="38">
        <f t="shared" si="2"/>
        <v>0</v>
      </c>
      <c r="CF74" s="38">
        <f t="shared" si="2"/>
        <v>0</v>
      </c>
      <c r="CG74" s="38">
        <f t="shared" si="2"/>
        <v>0</v>
      </c>
      <c r="CH74" s="38">
        <f t="shared" si="2"/>
        <v>0</v>
      </c>
      <c r="CI74" s="38">
        <f t="shared" si="2"/>
        <v>0</v>
      </c>
      <c r="CJ74" s="38">
        <f t="shared" si="2"/>
        <v>0</v>
      </c>
      <c r="CK74" s="38">
        <f t="shared" si="2"/>
        <v>0</v>
      </c>
      <c r="CL74" s="38">
        <f t="shared" si="2"/>
        <v>0</v>
      </c>
      <c r="CM74" s="38">
        <f t="shared" si="2"/>
        <v>0</v>
      </c>
      <c r="CN74" s="38">
        <f t="shared" si="2"/>
        <v>0</v>
      </c>
    </row>
    <row r="75" spans="2:92" ht="15.75" customHeight="1" hidden="1">
      <c r="B75" s="73" t="s">
        <v>42</v>
      </c>
      <c r="C75" s="74"/>
      <c r="D75" s="74"/>
      <c r="E75" s="15"/>
      <c r="F75" s="16"/>
      <c r="G75" s="16">
        <f>55*2</f>
        <v>110</v>
      </c>
      <c r="H75" s="3"/>
      <c r="BT75" s="67">
        <f>BU74+0.01</f>
        <v>360000.01</v>
      </c>
      <c r="BU75" s="67">
        <v>480000</v>
      </c>
      <c r="BV75" s="37"/>
      <c r="BW75" s="37"/>
      <c r="BX75" s="68">
        <v>0.1131</v>
      </c>
      <c r="BY75" s="37"/>
      <c r="BZ75" s="37"/>
      <c r="CA75" s="4"/>
      <c r="CB75" s="37">
        <f t="shared" si="3"/>
        <v>0.1131</v>
      </c>
      <c r="CC75" s="38">
        <f t="shared" si="2"/>
        <v>0</v>
      </c>
      <c r="CD75" s="38">
        <f t="shared" si="2"/>
        <v>0</v>
      </c>
      <c r="CE75" s="38">
        <f t="shared" si="2"/>
        <v>0</v>
      </c>
      <c r="CF75" s="38">
        <f t="shared" si="2"/>
        <v>0</v>
      </c>
      <c r="CG75" s="38">
        <f t="shared" si="2"/>
        <v>0</v>
      </c>
      <c r="CH75" s="38">
        <f t="shared" si="2"/>
        <v>0</v>
      </c>
      <c r="CI75" s="38">
        <f t="shared" si="2"/>
        <v>0</v>
      </c>
      <c r="CJ75" s="38">
        <f t="shared" si="2"/>
        <v>0</v>
      </c>
      <c r="CK75" s="38">
        <f t="shared" si="2"/>
        <v>0</v>
      </c>
      <c r="CL75" s="38">
        <f t="shared" si="2"/>
        <v>0</v>
      </c>
      <c r="CM75" s="38">
        <f t="shared" si="2"/>
        <v>0</v>
      </c>
      <c r="CN75" s="38">
        <f t="shared" si="2"/>
        <v>0</v>
      </c>
    </row>
    <row r="76" spans="2:92" ht="15.75" customHeight="1" hidden="1">
      <c r="B76" s="73" t="s">
        <v>43</v>
      </c>
      <c r="C76" s="74"/>
      <c r="D76" s="74"/>
      <c r="E76" s="15"/>
      <c r="F76" s="16"/>
      <c r="G76" s="16">
        <f>85*2</f>
        <v>170</v>
      </c>
      <c r="H76" s="3"/>
      <c r="BT76" s="67">
        <f>BU75+0.01</f>
        <v>480000.01</v>
      </c>
      <c r="BU76" s="67">
        <v>600000</v>
      </c>
      <c r="BV76" s="37"/>
      <c r="BW76" s="37"/>
      <c r="BX76" s="68">
        <v>0.114</v>
      </c>
      <c r="BY76" s="37"/>
      <c r="BZ76" s="37"/>
      <c r="CA76" s="4"/>
      <c r="CB76" s="37">
        <f t="shared" si="3"/>
        <v>0.114</v>
      </c>
      <c r="CC76" s="38">
        <f t="shared" si="2"/>
        <v>0</v>
      </c>
      <c r="CD76" s="38">
        <f t="shared" si="2"/>
        <v>0</v>
      </c>
      <c r="CE76" s="38">
        <f t="shared" si="2"/>
        <v>0</v>
      </c>
      <c r="CF76" s="38">
        <f t="shared" si="2"/>
        <v>0</v>
      </c>
      <c r="CG76" s="38">
        <f t="shared" si="2"/>
        <v>0</v>
      </c>
      <c r="CH76" s="38">
        <f t="shared" si="2"/>
        <v>0</v>
      </c>
      <c r="CI76" s="38">
        <f t="shared" si="2"/>
        <v>0</v>
      </c>
      <c r="CJ76" s="38">
        <f t="shared" si="2"/>
        <v>0</v>
      </c>
      <c r="CK76" s="38">
        <f t="shared" si="2"/>
        <v>0</v>
      </c>
      <c r="CL76" s="38">
        <f t="shared" si="2"/>
        <v>0</v>
      </c>
      <c r="CM76" s="38">
        <f t="shared" si="2"/>
        <v>0</v>
      </c>
      <c r="CN76" s="38">
        <f t="shared" si="2"/>
        <v>0</v>
      </c>
    </row>
    <row r="77" spans="2:92" ht="15.75" hidden="1">
      <c r="B77" s="73"/>
      <c r="C77" s="74"/>
      <c r="D77" s="74"/>
      <c r="E77" s="15"/>
      <c r="F77" s="16"/>
      <c r="G77" s="16"/>
      <c r="H77" s="3"/>
      <c r="BT77" s="67">
        <f aca="true" t="shared" si="4" ref="BT77:BT91">BU76+0.01</f>
        <v>600000.01</v>
      </c>
      <c r="BU77" s="67">
        <v>720000</v>
      </c>
      <c r="BV77" s="37"/>
      <c r="BW77" s="37"/>
      <c r="BX77" s="68">
        <v>0.1242</v>
      </c>
      <c r="BY77" s="37"/>
      <c r="BZ77" s="37"/>
      <c r="CA77" s="4"/>
      <c r="CB77" s="37">
        <f t="shared" si="3"/>
        <v>0.1242</v>
      </c>
      <c r="CC77" s="38">
        <f t="shared" si="2"/>
        <v>0</v>
      </c>
      <c r="CD77" s="38">
        <f t="shared" si="2"/>
        <v>0</v>
      </c>
      <c r="CE77" s="38">
        <f t="shared" si="2"/>
        <v>0</v>
      </c>
      <c r="CF77" s="38">
        <f t="shared" si="2"/>
        <v>0</v>
      </c>
      <c r="CG77" s="38">
        <f t="shared" si="2"/>
        <v>0</v>
      </c>
      <c r="CH77" s="38">
        <f t="shared" si="2"/>
        <v>0</v>
      </c>
      <c r="CI77" s="38">
        <f t="shared" si="2"/>
        <v>0</v>
      </c>
      <c r="CJ77" s="38">
        <f t="shared" si="2"/>
        <v>0</v>
      </c>
      <c r="CK77" s="38">
        <f t="shared" si="2"/>
        <v>0</v>
      </c>
      <c r="CL77" s="38">
        <f t="shared" si="2"/>
        <v>0</v>
      </c>
      <c r="CM77" s="38">
        <f t="shared" si="2"/>
        <v>0</v>
      </c>
      <c r="CN77" s="38">
        <f t="shared" si="2"/>
        <v>0</v>
      </c>
    </row>
    <row r="78" spans="2:92" ht="15.75" customHeight="1" hidden="1">
      <c r="B78" s="73" t="s">
        <v>46</v>
      </c>
      <c r="C78" s="74"/>
      <c r="D78" s="74"/>
      <c r="E78" s="74"/>
      <c r="F78" s="76"/>
      <c r="G78" s="16">
        <f>380*0.31*12</f>
        <v>1413.6</v>
      </c>
      <c r="H78" s="3"/>
      <c r="BT78" s="67">
        <f t="shared" si="4"/>
        <v>720000.01</v>
      </c>
      <c r="BU78" s="67">
        <v>840000</v>
      </c>
      <c r="BV78" s="37"/>
      <c r="BW78" s="37"/>
      <c r="BX78" s="68">
        <v>0.1254</v>
      </c>
      <c r="BY78" s="37"/>
      <c r="BZ78" s="37"/>
      <c r="CA78" s="4"/>
      <c r="CB78" s="37">
        <f t="shared" si="3"/>
        <v>0.1254</v>
      </c>
      <c r="CC78" s="38">
        <f t="shared" si="2"/>
        <v>0</v>
      </c>
      <c r="CD78" s="38">
        <f t="shared" si="2"/>
        <v>0</v>
      </c>
      <c r="CE78" s="38">
        <f t="shared" si="2"/>
        <v>0</v>
      </c>
      <c r="CF78" s="38">
        <f t="shared" si="2"/>
        <v>0</v>
      </c>
      <c r="CG78" s="38">
        <f t="shared" si="2"/>
        <v>0</v>
      </c>
      <c r="CH78" s="38">
        <f t="shared" si="2"/>
        <v>0</v>
      </c>
      <c r="CI78" s="38">
        <f t="shared" si="2"/>
        <v>0</v>
      </c>
      <c r="CJ78" s="38">
        <f t="shared" si="2"/>
        <v>0</v>
      </c>
      <c r="CK78" s="38">
        <f t="shared" si="2"/>
        <v>0</v>
      </c>
      <c r="CL78" s="38">
        <f t="shared" si="2"/>
        <v>0</v>
      </c>
      <c r="CM78" s="38">
        <f t="shared" si="2"/>
        <v>0</v>
      </c>
      <c r="CN78" s="38">
        <f t="shared" si="2"/>
        <v>0</v>
      </c>
    </row>
    <row r="79" spans="2:92" ht="15.75" hidden="1">
      <c r="B79" s="73" t="s">
        <v>47</v>
      </c>
      <c r="C79" s="74"/>
      <c r="D79" s="74"/>
      <c r="E79" s="28" t="e">
        <f>G79/(G$44+G$47)</f>
        <v>#VALUE!</v>
      </c>
      <c r="F79" s="27">
        <f>SUM(F67:F78)</f>
        <v>0</v>
      </c>
      <c r="G79" s="27">
        <f>SUM(G69:G78)</f>
        <v>11753.6</v>
      </c>
      <c r="H79" s="3"/>
      <c r="BT79" s="67">
        <f t="shared" si="4"/>
        <v>840000.01</v>
      </c>
      <c r="BU79" s="67">
        <v>960000</v>
      </c>
      <c r="BV79" s="37"/>
      <c r="BW79" s="37"/>
      <c r="BX79" s="68">
        <v>0.1268</v>
      </c>
      <c r="BY79" s="37"/>
      <c r="BZ79" s="37"/>
      <c r="CA79" s="4"/>
      <c r="CB79" s="37">
        <f t="shared" si="3"/>
        <v>0.1268</v>
      </c>
      <c r="CC79" s="38">
        <f t="shared" si="2"/>
        <v>0</v>
      </c>
      <c r="CD79" s="38">
        <f t="shared" si="2"/>
        <v>0</v>
      </c>
      <c r="CE79" s="38">
        <f t="shared" si="2"/>
        <v>0</v>
      </c>
      <c r="CF79" s="38">
        <f t="shared" si="2"/>
        <v>0</v>
      </c>
      <c r="CG79" s="38">
        <f t="shared" si="2"/>
        <v>0</v>
      </c>
      <c r="CH79" s="38">
        <f t="shared" si="2"/>
        <v>0</v>
      </c>
      <c r="CI79" s="38">
        <f t="shared" si="2"/>
        <v>0</v>
      </c>
      <c r="CJ79" s="38">
        <f t="shared" si="2"/>
        <v>0</v>
      </c>
      <c r="CK79" s="38">
        <f t="shared" si="2"/>
        <v>0</v>
      </c>
      <c r="CL79" s="38">
        <f t="shared" si="2"/>
        <v>0</v>
      </c>
      <c r="CM79" s="38">
        <f t="shared" si="2"/>
        <v>0</v>
      </c>
      <c r="CN79" s="38">
        <f t="shared" si="2"/>
        <v>0</v>
      </c>
    </row>
    <row r="80" spans="8:92" ht="12.75" hidden="1">
      <c r="H80" s="3"/>
      <c r="BT80" s="67">
        <f t="shared" si="4"/>
        <v>960000.01</v>
      </c>
      <c r="BU80" s="67">
        <v>1080000</v>
      </c>
      <c r="BV80" s="37"/>
      <c r="BW80" s="37"/>
      <c r="BX80" s="68">
        <v>0.1355</v>
      </c>
      <c r="BY80" s="37"/>
      <c r="BZ80" s="37"/>
      <c r="CA80" s="4"/>
      <c r="CB80" s="37">
        <f t="shared" si="3"/>
        <v>0.1355</v>
      </c>
      <c r="CC80" s="38">
        <f t="shared" si="2"/>
        <v>0</v>
      </c>
      <c r="CD80" s="38">
        <f t="shared" si="2"/>
        <v>0</v>
      </c>
      <c r="CE80" s="38">
        <f t="shared" si="2"/>
        <v>0</v>
      </c>
      <c r="CF80" s="38">
        <f t="shared" si="2"/>
        <v>0</v>
      </c>
      <c r="CG80" s="38">
        <f t="shared" si="2"/>
        <v>0</v>
      </c>
      <c r="CH80" s="38">
        <f t="shared" si="2"/>
        <v>0</v>
      </c>
      <c r="CI80" s="38">
        <f t="shared" si="2"/>
        <v>0</v>
      </c>
      <c r="CJ80" s="38">
        <f t="shared" si="2"/>
        <v>0</v>
      </c>
      <c r="CK80" s="38">
        <f t="shared" si="2"/>
        <v>0</v>
      </c>
      <c r="CL80" s="38">
        <f t="shared" si="2"/>
        <v>0</v>
      </c>
      <c r="CM80" s="38">
        <f t="shared" si="2"/>
        <v>0</v>
      </c>
      <c r="CN80" s="38">
        <f t="shared" si="2"/>
        <v>0</v>
      </c>
    </row>
    <row r="81" spans="2:92" ht="12.75" hidden="1">
      <c r="B81" s="75" t="s">
        <v>22</v>
      </c>
      <c r="C81" s="75"/>
      <c r="D81" s="75"/>
      <c r="E81" s="75"/>
      <c r="F81" s="75"/>
      <c r="G81" s="75"/>
      <c r="BT81" s="67">
        <f t="shared" si="4"/>
        <v>1080000.01</v>
      </c>
      <c r="BU81" s="67">
        <v>1200000</v>
      </c>
      <c r="BV81" s="37"/>
      <c r="BW81" s="37"/>
      <c r="BX81" s="68">
        <v>0.1368</v>
      </c>
      <c r="BY81" s="37"/>
      <c r="BZ81" s="37"/>
      <c r="CA81" s="4"/>
      <c r="CB81" s="37">
        <f t="shared" si="3"/>
        <v>0.1368</v>
      </c>
      <c r="CC81" s="38">
        <f t="shared" si="2"/>
        <v>0</v>
      </c>
      <c r="CD81" s="38">
        <f t="shared" si="2"/>
        <v>0</v>
      </c>
      <c r="CE81" s="38">
        <f t="shared" si="2"/>
        <v>0</v>
      </c>
      <c r="CF81" s="38">
        <f t="shared" si="2"/>
        <v>0</v>
      </c>
      <c r="CG81" s="38">
        <f t="shared" si="2"/>
        <v>0</v>
      </c>
      <c r="CH81" s="38">
        <f t="shared" si="2"/>
        <v>0</v>
      </c>
      <c r="CI81" s="38">
        <f t="shared" si="2"/>
        <v>0</v>
      </c>
      <c r="CJ81" s="38">
        <f t="shared" si="2"/>
        <v>0</v>
      </c>
      <c r="CK81" s="38">
        <f t="shared" si="2"/>
        <v>0</v>
      </c>
      <c r="CL81" s="38">
        <f t="shared" si="2"/>
        <v>0</v>
      </c>
      <c r="CM81" s="38">
        <f t="shared" si="2"/>
        <v>0</v>
      </c>
      <c r="CN81" s="38">
        <f t="shared" si="2"/>
        <v>0</v>
      </c>
    </row>
    <row r="82" spans="2:92" ht="12.75" hidden="1">
      <c r="B82" s="75" t="s">
        <v>32</v>
      </c>
      <c r="C82" s="75"/>
      <c r="D82" s="75"/>
      <c r="E82" s="75"/>
      <c r="F82" s="75"/>
      <c r="G82" s="75"/>
      <c r="BT82" s="67">
        <f t="shared" si="4"/>
        <v>1200000.01</v>
      </c>
      <c r="BU82" s="67">
        <v>1320000</v>
      </c>
      <c r="BV82" s="37"/>
      <c r="BW82" s="37"/>
      <c r="BX82" s="68">
        <v>0.1493</v>
      </c>
      <c r="BY82" s="37"/>
      <c r="BZ82" s="37"/>
      <c r="CA82" s="4"/>
      <c r="CB82" s="37">
        <f t="shared" si="3"/>
        <v>0.1493</v>
      </c>
      <c r="CC82" s="38">
        <f t="shared" si="2"/>
        <v>0</v>
      </c>
      <c r="CD82" s="38">
        <f t="shared" si="2"/>
        <v>0</v>
      </c>
      <c r="CE82" s="38">
        <f t="shared" si="2"/>
        <v>0</v>
      </c>
      <c r="CF82" s="38">
        <f t="shared" si="2"/>
        <v>0</v>
      </c>
      <c r="CG82" s="38">
        <f t="shared" si="2"/>
        <v>0</v>
      </c>
      <c r="CH82" s="38">
        <f t="shared" si="2"/>
        <v>0</v>
      </c>
      <c r="CI82" s="38">
        <f t="shared" si="2"/>
        <v>0</v>
      </c>
      <c r="CJ82" s="38">
        <f t="shared" si="2"/>
        <v>0</v>
      </c>
      <c r="CK82" s="38">
        <f t="shared" si="2"/>
        <v>0</v>
      </c>
      <c r="CL82" s="38">
        <f t="shared" si="2"/>
        <v>0</v>
      </c>
      <c r="CM82" s="38">
        <f t="shared" si="2"/>
        <v>0</v>
      </c>
      <c r="CN82" s="38">
        <f t="shared" si="2"/>
        <v>0</v>
      </c>
    </row>
    <row r="83" spans="72:92" ht="12.75">
      <c r="BT83" s="67">
        <f t="shared" si="4"/>
        <v>1320000.01</v>
      </c>
      <c r="BU83" s="67">
        <v>1440000</v>
      </c>
      <c r="BV83" s="37"/>
      <c r="BW83" s="37"/>
      <c r="BX83" s="68">
        <v>0.1506</v>
      </c>
      <c r="BY83" s="37"/>
      <c r="BZ83" s="37"/>
      <c r="CA83" s="4"/>
      <c r="CB83" s="37">
        <f t="shared" si="3"/>
        <v>0.1506</v>
      </c>
      <c r="CC83" s="38">
        <f t="shared" si="2"/>
        <v>0</v>
      </c>
      <c r="CD83" s="38">
        <f t="shared" si="2"/>
        <v>0</v>
      </c>
      <c r="CE83" s="38">
        <f t="shared" si="2"/>
        <v>0</v>
      </c>
      <c r="CF83" s="38">
        <f t="shared" si="2"/>
        <v>0</v>
      </c>
      <c r="CG83" s="38">
        <f t="shared" si="2"/>
        <v>0</v>
      </c>
      <c r="CH83" s="38">
        <f t="shared" si="2"/>
        <v>0</v>
      </c>
      <c r="CI83" s="38">
        <f t="shared" si="2"/>
        <v>0</v>
      </c>
      <c r="CJ83" s="38">
        <f t="shared" si="2"/>
        <v>0</v>
      </c>
      <c r="CK83" s="38">
        <f t="shared" si="2"/>
        <v>0</v>
      </c>
      <c r="CL83" s="38">
        <f t="shared" si="2"/>
        <v>0</v>
      </c>
      <c r="CM83" s="38">
        <f t="shared" si="2"/>
        <v>0</v>
      </c>
      <c r="CN83" s="38">
        <f t="shared" si="2"/>
        <v>0</v>
      </c>
    </row>
    <row r="84" spans="72:92" ht="12.75">
      <c r="BT84" s="67">
        <f t="shared" si="4"/>
        <v>1440000.01</v>
      </c>
      <c r="BU84" s="67">
        <v>1560000</v>
      </c>
      <c r="BV84" s="37"/>
      <c r="BW84" s="37"/>
      <c r="BX84" s="68">
        <v>0.152</v>
      </c>
      <c r="BY84" s="37"/>
      <c r="BZ84" s="37"/>
      <c r="CA84" s="4"/>
      <c r="CB84" s="37">
        <f t="shared" si="3"/>
        <v>0.152</v>
      </c>
      <c r="CC84" s="38">
        <f t="shared" si="2"/>
        <v>0</v>
      </c>
      <c r="CD84" s="38">
        <f t="shared" si="2"/>
        <v>0</v>
      </c>
      <c r="CE84" s="38">
        <f t="shared" si="2"/>
        <v>0</v>
      </c>
      <c r="CF84" s="38">
        <f t="shared" si="2"/>
        <v>0</v>
      </c>
      <c r="CG84" s="38">
        <f t="shared" si="2"/>
        <v>0</v>
      </c>
      <c r="CH84" s="38">
        <f t="shared" si="2"/>
        <v>0</v>
      </c>
      <c r="CI84" s="38">
        <f t="shared" si="2"/>
        <v>0</v>
      </c>
      <c r="CJ84" s="38">
        <f t="shared" si="2"/>
        <v>0</v>
      </c>
      <c r="CK84" s="38">
        <f t="shared" si="2"/>
        <v>0</v>
      </c>
      <c r="CL84" s="38">
        <f t="shared" si="2"/>
        <v>0</v>
      </c>
      <c r="CM84" s="38">
        <f t="shared" si="2"/>
        <v>0</v>
      </c>
      <c r="CN84" s="38">
        <f t="shared" si="2"/>
        <v>0</v>
      </c>
    </row>
    <row r="85" spans="72:92" ht="12.75">
      <c r="BT85" s="67">
        <f t="shared" si="4"/>
        <v>1560000.01</v>
      </c>
      <c r="BU85" s="67">
        <v>1680000</v>
      </c>
      <c r="BV85" s="37"/>
      <c r="BW85" s="37"/>
      <c r="BX85" s="68">
        <v>0.1535</v>
      </c>
      <c r="BY85" s="37"/>
      <c r="BZ85" s="37"/>
      <c r="CA85" s="4"/>
      <c r="CB85" s="37">
        <f t="shared" si="3"/>
        <v>0.1535</v>
      </c>
      <c r="CC85" s="38">
        <f t="shared" si="2"/>
        <v>0</v>
      </c>
      <c r="CD85" s="38">
        <f t="shared" si="2"/>
        <v>0</v>
      </c>
      <c r="CE85" s="38">
        <f t="shared" si="2"/>
        <v>0</v>
      </c>
      <c r="CF85" s="38">
        <f t="shared" si="2"/>
        <v>0</v>
      </c>
      <c r="CG85" s="38">
        <f t="shared" si="2"/>
        <v>0</v>
      </c>
      <c r="CH85" s="38">
        <f t="shared" si="2"/>
        <v>0</v>
      </c>
      <c r="CI85" s="38">
        <f t="shared" si="2"/>
        <v>0</v>
      </c>
      <c r="CJ85" s="38">
        <f t="shared" si="2"/>
        <v>0</v>
      </c>
      <c r="CK85" s="38">
        <f t="shared" si="2"/>
        <v>0</v>
      </c>
      <c r="CL85" s="38">
        <f t="shared" si="2"/>
        <v>0</v>
      </c>
      <c r="CM85" s="38">
        <f t="shared" si="2"/>
        <v>0</v>
      </c>
      <c r="CN85" s="38">
        <f t="shared" si="2"/>
        <v>0</v>
      </c>
    </row>
    <row r="86" spans="72:92" ht="12.75">
      <c r="BT86" s="67">
        <f t="shared" si="4"/>
        <v>1680000.01</v>
      </c>
      <c r="BU86" s="67">
        <v>1800000</v>
      </c>
      <c r="BV86" s="37"/>
      <c r="BW86" s="37"/>
      <c r="BX86" s="68">
        <v>0.1548</v>
      </c>
      <c r="BY86" s="37"/>
      <c r="BZ86" s="37"/>
      <c r="CA86" s="4"/>
      <c r="CB86" s="37">
        <f t="shared" si="3"/>
        <v>0.1548</v>
      </c>
      <c r="CC86" s="38">
        <f t="shared" si="2"/>
        <v>0</v>
      </c>
      <c r="CD86" s="38">
        <f t="shared" si="2"/>
        <v>0</v>
      </c>
      <c r="CE86" s="38">
        <f t="shared" si="2"/>
        <v>0</v>
      </c>
      <c r="CF86" s="38">
        <f t="shared" si="2"/>
        <v>0</v>
      </c>
      <c r="CG86" s="38">
        <f t="shared" si="2"/>
        <v>0</v>
      </c>
      <c r="CH86" s="38">
        <f t="shared" si="2"/>
        <v>0</v>
      </c>
      <c r="CI86" s="38">
        <f t="shared" si="2"/>
        <v>0</v>
      </c>
      <c r="CJ86" s="38">
        <f t="shared" si="2"/>
        <v>0</v>
      </c>
      <c r="CK86" s="38">
        <f t="shared" si="2"/>
        <v>0</v>
      </c>
      <c r="CL86" s="38">
        <f t="shared" si="2"/>
        <v>0</v>
      </c>
      <c r="CM86" s="38">
        <f t="shared" si="2"/>
        <v>0</v>
      </c>
      <c r="CN86" s="38">
        <f t="shared" si="2"/>
        <v>0</v>
      </c>
    </row>
    <row r="87" spans="72:92" ht="12.75">
      <c r="BT87" s="67">
        <f t="shared" si="4"/>
        <v>1800000.01</v>
      </c>
      <c r="BU87" s="67">
        <v>1920000</v>
      </c>
      <c r="BV87" s="37"/>
      <c r="BW87" s="37"/>
      <c r="BX87" s="68">
        <v>0.1685</v>
      </c>
      <c r="BY87" s="37"/>
      <c r="BZ87" s="37"/>
      <c r="CA87" s="4"/>
      <c r="CB87" s="37">
        <f t="shared" si="3"/>
        <v>0.1685</v>
      </c>
      <c r="CC87" s="38">
        <f t="shared" si="2"/>
        <v>0</v>
      </c>
      <c r="CD87" s="38">
        <f t="shared" si="2"/>
        <v>0</v>
      </c>
      <c r="CE87" s="38">
        <f t="shared" si="2"/>
        <v>0</v>
      </c>
      <c r="CF87" s="38">
        <f t="shared" si="2"/>
        <v>0</v>
      </c>
      <c r="CG87" s="38">
        <f t="shared" si="2"/>
        <v>0</v>
      </c>
      <c r="CH87" s="38">
        <f t="shared" si="2"/>
        <v>0</v>
      </c>
      <c r="CI87" s="38">
        <f t="shared" si="2"/>
        <v>0</v>
      </c>
      <c r="CJ87" s="38">
        <f t="shared" si="2"/>
        <v>0</v>
      </c>
      <c r="CK87" s="38">
        <f t="shared" si="2"/>
        <v>0</v>
      </c>
      <c r="CL87" s="38">
        <f t="shared" si="2"/>
        <v>0</v>
      </c>
      <c r="CM87" s="38">
        <f t="shared" si="2"/>
        <v>0</v>
      </c>
      <c r="CN87" s="38">
        <f t="shared" si="2"/>
        <v>0</v>
      </c>
    </row>
    <row r="88" spans="72:92" ht="12.75">
      <c r="BT88" s="67">
        <f t="shared" si="4"/>
        <v>1920000.01</v>
      </c>
      <c r="BU88" s="67">
        <v>2040000</v>
      </c>
      <c r="BV88" s="37"/>
      <c r="BW88" s="37"/>
      <c r="BX88" s="68">
        <v>0.1698</v>
      </c>
      <c r="BY88" s="37"/>
      <c r="BZ88" s="37"/>
      <c r="CA88" s="4"/>
      <c r="CB88" s="37">
        <f t="shared" si="3"/>
        <v>0.1698</v>
      </c>
      <c r="CC88" s="38">
        <f aca="true" t="shared" si="5" ref="CC88:CN91">IF(AND($BT88&lt;=CC$71,CC$71&lt;=$BU88),$CB88,0)</f>
        <v>0</v>
      </c>
      <c r="CD88" s="38">
        <f t="shared" si="5"/>
        <v>0</v>
      </c>
      <c r="CE88" s="38">
        <f t="shared" si="5"/>
        <v>0</v>
      </c>
      <c r="CF88" s="38">
        <f t="shared" si="5"/>
        <v>0</v>
      </c>
      <c r="CG88" s="38">
        <f t="shared" si="5"/>
        <v>0</v>
      </c>
      <c r="CH88" s="38">
        <f t="shared" si="5"/>
        <v>0</v>
      </c>
      <c r="CI88" s="38">
        <f t="shared" si="5"/>
        <v>0</v>
      </c>
      <c r="CJ88" s="38">
        <f t="shared" si="5"/>
        <v>0</v>
      </c>
      <c r="CK88" s="38">
        <f t="shared" si="5"/>
        <v>0</v>
      </c>
      <c r="CL88" s="38">
        <f t="shared" si="5"/>
        <v>0</v>
      </c>
      <c r="CM88" s="38">
        <f t="shared" si="5"/>
        <v>0</v>
      </c>
      <c r="CN88" s="38">
        <f t="shared" si="5"/>
        <v>0</v>
      </c>
    </row>
    <row r="89" spans="72:92" ht="12.75">
      <c r="BT89" s="67">
        <f t="shared" si="4"/>
        <v>2040000.01</v>
      </c>
      <c r="BU89" s="67">
        <v>2160000</v>
      </c>
      <c r="BV89" s="37"/>
      <c r="BW89" s="37"/>
      <c r="BX89" s="68">
        <v>0.1713</v>
      </c>
      <c r="BY89" s="37"/>
      <c r="BZ89" s="37"/>
      <c r="CA89" s="4"/>
      <c r="CB89" s="37">
        <f t="shared" si="3"/>
        <v>0.1713</v>
      </c>
      <c r="CC89" s="38">
        <f t="shared" si="5"/>
        <v>0</v>
      </c>
      <c r="CD89" s="38">
        <f t="shared" si="5"/>
        <v>0</v>
      </c>
      <c r="CE89" s="38">
        <f t="shared" si="5"/>
        <v>0</v>
      </c>
      <c r="CF89" s="38">
        <f t="shared" si="5"/>
        <v>0</v>
      </c>
      <c r="CG89" s="38">
        <f t="shared" si="5"/>
        <v>0</v>
      </c>
      <c r="CH89" s="38">
        <f t="shared" si="5"/>
        <v>0</v>
      </c>
      <c r="CI89" s="38">
        <f t="shared" si="5"/>
        <v>0</v>
      </c>
      <c r="CJ89" s="38">
        <f t="shared" si="5"/>
        <v>0</v>
      </c>
      <c r="CK89" s="38">
        <f t="shared" si="5"/>
        <v>0</v>
      </c>
      <c r="CL89" s="38">
        <f t="shared" si="5"/>
        <v>0</v>
      </c>
      <c r="CM89" s="38">
        <f t="shared" si="5"/>
        <v>0</v>
      </c>
      <c r="CN89" s="38">
        <f t="shared" si="5"/>
        <v>0</v>
      </c>
    </row>
    <row r="90" spans="72:92" ht="12.75">
      <c r="BT90" s="67">
        <f t="shared" si="4"/>
        <v>2160000.01</v>
      </c>
      <c r="BU90" s="67">
        <v>2280000</v>
      </c>
      <c r="BV90" s="37"/>
      <c r="BW90" s="37"/>
      <c r="BX90" s="68">
        <v>0.1727</v>
      </c>
      <c r="BY90" s="37"/>
      <c r="BZ90" s="37"/>
      <c r="CA90" s="4"/>
      <c r="CB90" s="37">
        <f t="shared" si="3"/>
        <v>0.1727</v>
      </c>
      <c r="CC90" s="38">
        <f t="shared" si="5"/>
        <v>0</v>
      </c>
      <c r="CD90" s="38">
        <f t="shared" si="5"/>
        <v>0</v>
      </c>
      <c r="CE90" s="38">
        <f t="shared" si="5"/>
        <v>0</v>
      </c>
      <c r="CF90" s="38">
        <f t="shared" si="5"/>
        <v>0</v>
      </c>
      <c r="CG90" s="38">
        <f t="shared" si="5"/>
        <v>0</v>
      </c>
      <c r="CH90" s="38">
        <f t="shared" si="5"/>
        <v>0</v>
      </c>
      <c r="CI90" s="38">
        <f t="shared" si="5"/>
        <v>0</v>
      </c>
      <c r="CJ90" s="38">
        <f t="shared" si="5"/>
        <v>0</v>
      </c>
      <c r="CK90" s="38">
        <f t="shared" si="5"/>
        <v>0</v>
      </c>
      <c r="CL90" s="38">
        <f t="shared" si="5"/>
        <v>0</v>
      </c>
      <c r="CM90" s="38">
        <f t="shared" si="5"/>
        <v>0</v>
      </c>
      <c r="CN90" s="38">
        <f t="shared" si="5"/>
        <v>0</v>
      </c>
    </row>
    <row r="91" spans="72:92" ht="12.75">
      <c r="BT91" s="67">
        <f t="shared" si="4"/>
        <v>2280000.01</v>
      </c>
      <c r="BU91" s="67">
        <v>2400000</v>
      </c>
      <c r="BV91" s="37"/>
      <c r="BW91" s="37"/>
      <c r="BX91" s="68">
        <v>0.1742</v>
      </c>
      <c r="BY91" s="37"/>
      <c r="BZ91" s="37"/>
      <c r="CA91" s="4"/>
      <c r="CB91" s="37">
        <f t="shared" si="3"/>
        <v>0.1742</v>
      </c>
      <c r="CC91" s="38">
        <f t="shared" si="5"/>
        <v>0</v>
      </c>
      <c r="CD91" s="38">
        <f t="shared" si="5"/>
        <v>0</v>
      </c>
      <c r="CE91" s="38">
        <f t="shared" si="5"/>
        <v>0</v>
      </c>
      <c r="CF91" s="38">
        <f t="shared" si="5"/>
        <v>0</v>
      </c>
      <c r="CG91" s="38">
        <f t="shared" si="5"/>
        <v>0</v>
      </c>
      <c r="CH91" s="38">
        <f t="shared" si="5"/>
        <v>0</v>
      </c>
      <c r="CI91" s="38">
        <f t="shared" si="5"/>
        <v>0</v>
      </c>
      <c r="CJ91" s="38">
        <f t="shared" si="5"/>
        <v>0</v>
      </c>
      <c r="CK91" s="38">
        <f t="shared" si="5"/>
        <v>0</v>
      </c>
      <c r="CL91" s="38">
        <f t="shared" si="5"/>
        <v>0</v>
      </c>
      <c r="CM91" s="38">
        <f t="shared" si="5"/>
        <v>0</v>
      </c>
      <c r="CN91" s="38">
        <f t="shared" si="5"/>
        <v>0</v>
      </c>
    </row>
    <row r="92" spans="72:92" ht="12.75">
      <c r="BT92" s="4"/>
      <c r="BU92" s="4"/>
      <c r="BV92" s="37"/>
      <c r="BW92" s="37"/>
      <c r="BX92" s="37">
        <f>IF('[1]CADASTRO'!$AH$12="III",'[2]NACIONAL'!$F27,0)</f>
        <v>0</v>
      </c>
      <c r="BY92" s="37"/>
      <c r="BZ92" s="37"/>
      <c r="CA92" s="4"/>
      <c r="CB92" s="37">
        <f>IF(CB$43=1,(BW92+BV92),0)</f>
        <v>0</v>
      </c>
      <c r="CC92" s="38">
        <f aca="true" t="shared" si="6" ref="CC92:CN93">IF(AND($BT64&lt;=CC$71,CC$71&lt;=$BU64),$CB64,0)</f>
        <v>0</v>
      </c>
      <c r="CD92" s="38">
        <f t="shared" si="6"/>
        <v>0</v>
      </c>
      <c r="CE92" s="38">
        <f t="shared" si="6"/>
        <v>0</v>
      </c>
      <c r="CF92" s="38">
        <f t="shared" si="6"/>
        <v>0</v>
      </c>
      <c r="CG92" s="38">
        <f t="shared" si="6"/>
        <v>0</v>
      </c>
      <c r="CH92" s="38">
        <f t="shared" si="6"/>
        <v>0</v>
      </c>
      <c r="CI92" s="38">
        <f t="shared" si="6"/>
        <v>0</v>
      </c>
      <c r="CJ92" s="38">
        <f t="shared" si="6"/>
        <v>0</v>
      </c>
      <c r="CK92" s="38">
        <f t="shared" si="6"/>
        <v>0</v>
      </c>
      <c r="CL92" s="38">
        <f t="shared" si="6"/>
        <v>0</v>
      </c>
      <c r="CM92" s="38">
        <f t="shared" si="6"/>
        <v>0</v>
      </c>
      <c r="CN92" s="38">
        <f t="shared" si="6"/>
        <v>0</v>
      </c>
    </row>
    <row r="93" spans="72:92" ht="12.75">
      <c r="BT93" s="4"/>
      <c r="BU93" s="4"/>
      <c r="BV93" s="37"/>
      <c r="BW93" s="37"/>
      <c r="BX93" s="37">
        <f>IF('[1]CADASTRO'!$AH$12="III",'[2]NACIONAL'!$F28,0)</f>
        <v>0</v>
      </c>
      <c r="BY93" s="37"/>
      <c r="BZ93" s="37"/>
      <c r="CA93" s="4"/>
      <c r="CB93" s="37">
        <f>IF(CB$43=1,(BW93+BV93),0)</f>
        <v>0</v>
      </c>
      <c r="CC93" s="38">
        <f t="shared" si="6"/>
        <v>0</v>
      </c>
      <c r="CD93" s="38">
        <f t="shared" si="6"/>
        <v>0</v>
      </c>
      <c r="CE93" s="38">
        <f t="shared" si="6"/>
        <v>0</v>
      </c>
      <c r="CF93" s="38">
        <f t="shared" si="6"/>
        <v>0</v>
      </c>
      <c r="CG93" s="38">
        <f t="shared" si="6"/>
        <v>0</v>
      </c>
      <c r="CH93" s="38">
        <f t="shared" si="6"/>
        <v>0</v>
      </c>
      <c r="CI93" s="38">
        <f t="shared" si="6"/>
        <v>0</v>
      </c>
      <c r="CJ93" s="38">
        <f t="shared" si="6"/>
        <v>0</v>
      </c>
      <c r="CK93" s="38">
        <f t="shared" si="6"/>
        <v>0</v>
      </c>
      <c r="CL93" s="38">
        <f t="shared" si="6"/>
        <v>0</v>
      </c>
      <c r="CM93" s="38">
        <f t="shared" si="6"/>
        <v>0</v>
      </c>
      <c r="CN93" s="38">
        <f t="shared" si="6"/>
        <v>0</v>
      </c>
    </row>
    <row r="94" spans="72:92" ht="12.75">
      <c r="BT94" s="4"/>
      <c r="BU94" s="4"/>
      <c r="BV94" s="4"/>
      <c r="BW94" s="4"/>
      <c r="BX94" s="4"/>
      <c r="BY94" s="4"/>
      <c r="BZ94" s="4"/>
      <c r="CA94" s="4"/>
      <c r="CB94" s="4"/>
      <c r="CC94" s="39">
        <f aca="true" t="shared" si="7" ref="CC94:CH94">SUM(CC72:CC93)</f>
        <v>0.06</v>
      </c>
      <c r="CD94" s="39">
        <f t="shared" si="7"/>
        <v>0</v>
      </c>
      <c r="CE94" s="39">
        <f t="shared" si="7"/>
        <v>0</v>
      </c>
      <c r="CF94" s="39">
        <f t="shared" si="7"/>
        <v>0</v>
      </c>
      <c r="CG94" s="39">
        <f t="shared" si="7"/>
        <v>0</v>
      </c>
      <c r="CH94" s="39">
        <f t="shared" si="7"/>
        <v>0</v>
      </c>
      <c r="CI94" s="39">
        <f aca="true" t="shared" si="8" ref="CI94:CN94">SUM(CI72:CI93)</f>
        <v>0</v>
      </c>
      <c r="CJ94" s="39">
        <f t="shared" si="8"/>
        <v>0</v>
      </c>
      <c r="CK94" s="39">
        <f t="shared" si="8"/>
        <v>0</v>
      </c>
      <c r="CL94" s="39">
        <f t="shared" si="8"/>
        <v>0</v>
      </c>
      <c r="CM94" s="39">
        <f t="shared" si="8"/>
        <v>0</v>
      </c>
      <c r="CN94" s="39">
        <f t="shared" si="8"/>
        <v>0</v>
      </c>
    </row>
    <row r="95" spans="72:92" ht="12.75"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</row>
    <row r="96" spans="72:92" ht="12.75"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</row>
    <row r="97" ht="12.75"/>
    <row r="98" ht="12.75"/>
    <row r="99" ht="12.75"/>
    <row r="101" ht="12.75"/>
    <row r="102" ht="12.75"/>
    <row r="104" ht="12.75"/>
    <row r="106" ht="12.75"/>
  </sheetData>
  <mergeCells count="40">
    <mergeCell ref="B5:C5"/>
    <mergeCell ref="B2:G2"/>
    <mergeCell ref="B3:G3"/>
    <mergeCell ref="H19:I19"/>
    <mergeCell ref="H38:I38"/>
    <mergeCell ref="H26:I36"/>
    <mergeCell ref="H2:I2"/>
    <mergeCell ref="H3:I3"/>
    <mergeCell ref="H6:I10"/>
    <mergeCell ref="H21:I21"/>
    <mergeCell ref="H22:I22"/>
    <mergeCell ref="H25:I25"/>
    <mergeCell ref="C17:G17"/>
    <mergeCell ref="H12:I12"/>
    <mergeCell ref="B21:G21"/>
    <mergeCell ref="B22:G22"/>
    <mergeCell ref="B18:D18"/>
    <mergeCell ref="B41:G41"/>
    <mergeCell ref="B42:G42"/>
    <mergeCell ref="B25:C25"/>
    <mergeCell ref="E24:E25"/>
    <mergeCell ref="B24:C24"/>
    <mergeCell ref="B38:D38"/>
    <mergeCell ref="C37:G37"/>
    <mergeCell ref="B43:G43"/>
    <mergeCell ref="B69:D69"/>
    <mergeCell ref="B48:F48"/>
    <mergeCell ref="B70:D70"/>
    <mergeCell ref="B67:G67"/>
    <mergeCell ref="B71:D71"/>
    <mergeCell ref="B72:D72"/>
    <mergeCell ref="B73:D73"/>
    <mergeCell ref="B74:D74"/>
    <mergeCell ref="B79:D79"/>
    <mergeCell ref="B82:G82"/>
    <mergeCell ref="B81:G81"/>
    <mergeCell ref="B75:D75"/>
    <mergeCell ref="B76:D76"/>
    <mergeCell ref="B77:D77"/>
    <mergeCell ref="B78:F78"/>
  </mergeCells>
  <printOptions/>
  <pageMargins left="0.38" right="0.41" top="0.31" bottom="0.37" header="0.492125985" footer="0.28"/>
  <pageSetup fitToHeight="2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Plancon</dc:creator>
  <cp:keywords/>
  <dc:description/>
  <cp:lastModifiedBy>A2Office</cp:lastModifiedBy>
  <cp:lastPrinted>2006-03-17T18:08:00Z</cp:lastPrinted>
  <dcterms:created xsi:type="dcterms:W3CDTF">2001-07-06T19:20:25Z</dcterms:created>
  <dcterms:modified xsi:type="dcterms:W3CDTF">2010-11-02T21:13:06Z</dcterms:modified>
  <cp:category/>
  <cp:version/>
  <cp:contentType/>
  <cp:contentStatus/>
</cp:coreProperties>
</file>